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sharedStrings.xml" ContentType="application/vnd.openxmlformats-officedocument.spreadsheetml.sharedStrings+xml"/>
  <Override PartName="/xl/media/image1.jpeg" ContentType="image/jpeg"/>
  <Override PartName="/xl/media/image2.jpeg" ContentType="image/jpe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Iniciar_Aqui" sheetId="1" state="visible" r:id="rId2"/>
    <sheet name="Plan de Ensaios" sheetId="2" state="visible" r:id="rId3"/>
    <sheet name="Prezos" sheetId="3" state="visible" r:id="rId4"/>
    <sheet name="Tests" sheetId="4" state="hidden" r:id="rId5"/>
  </sheets>
  <definedNames>
    <definedName function="false" hidden="false" localSheetId="0" name="_xlnm.Print_Area" vbProcedure="false">Iniciar_Aqui!$A$1:$B$40</definedName>
    <definedName function="false" hidden="false" localSheetId="1" name="_xlnm.Print_Area" vbProcedure="false">'Plan de Ensaios'!$A$1:$R$550</definedName>
    <definedName function="false" hidden="true" localSheetId="2" name="_xlnm._FilterDatabase" vbProcedure="false">Prezos!$A$7:$G$181</definedName>
    <definedName function="false" hidden="false" name="act_base" vbProcedure="false">'Plan de Ensaios'!$A$334</definedName>
    <definedName function="false" hidden="false" name="act_intermedia" vbProcedure="false">'Plan de Ensaios'!$A$333</definedName>
    <definedName function="false" hidden="false" name="act_rodadura" vbProcedure="false">'Plan de Ensaios'!$A$332</definedName>
    <definedName function="false" hidden="false" name="cat_Tp" vbProcedure="false">'Plan de Ensaios'!$A$112</definedName>
    <definedName function="false" hidden="false" name="matriz_codigo_prezos" vbProcedure="false">Prezos!$B$10:$G$190</definedName>
    <definedName function="false" hidden="false" name="ncapas_AC" vbProcedure="false">'Plan de Ensaios'!$A$336</definedName>
    <definedName function="false" hidden="false" name="nmesturas_AC" vbProcedure="false">'Plan de Ensaios'!$A$329</definedName>
    <definedName function="false" hidden="false" name="PBL" vbProcedure="false">Iniciar_Aqui!$B$8</definedName>
    <definedName function="false" hidden="false" name="pxcontraste" vbProcedure="false">Iniciar_Aqui!$B$16</definedName>
    <definedName function="false" hidden="false" name="tramo_prezo" vbProcedure="false">Prezos!$E$3</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<sst xmlns="http://schemas.openxmlformats.org/spreadsheetml/2006/main" count="1747" uniqueCount="634">
  <si>
    <t xml:space="preserve">NOTA EXPLICATIVA</t>
  </si>
  <si>
    <t xml:space="preserve">1. Orzamento Base de Licitación</t>
  </si>
  <si>
    <t xml:space="preserve">Debe introducirse o importe do orzamento base de licitación sen IVE (PBL sen IVE) na cela indicada nesta folla, xa que en función deste importe a folla de cálculo extrae automaticamente os prezos unitarios de cada ensaio da folla “Prezos”</t>
  </si>
  <si>
    <t xml:space="preserve">Introduza o PBL (sen IVE) na seguinte cela de fondo azul ..............................</t>
  </si>
  <si>
    <t xml:space="preserve">2. Porcentaxe de ensaios de recepción, produto terminado, asesoramento á D.O. e redacción de informes</t>
  </si>
  <si>
    <r>
      <rPr>
        <sz val="10"/>
        <color rgb="FF000000"/>
        <rFont val="Arial"/>
        <family val="2"/>
        <charset val="1"/>
      </rPr>
      <t xml:space="preserve">Por defecto establecese unha porcentaxe dun </t>
    </r>
    <r>
      <rPr>
        <b val="true"/>
        <sz val="10"/>
        <color rgb="FF000000"/>
        <rFont val="Arial"/>
        <family val="2"/>
      </rPr>
      <t xml:space="preserve">30%.
</t>
    </r>
    <r>
      <rPr>
        <sz val="10"/>
        <color rgb="FF000000"/>
        <rFont val="Arial"/>
        <family val="2"/>
        <charset val="1"/>
      </rPr>
      <t xml:space="preserve">
</t>
    </r>
    <r>
      <rPr>
        <sz val="10"/>
        <color rgb="FF000000"/>
        <rFont val="Arial"/>
        <family val="2"/>
      </rPr>
      <t xml:space="preserve">En certos casos de ensaios considerados ensaios de recepción, en lugar do 30%, a porcentaxe de ensaios de recepción, produto terminado, asesoramento á D.O. e redacción de informes é dun 100%. Nestes casos (100% de </t>
    </r>
    <r>
      <rPr>
        <i val="true"/>
        <sz val="10"/>
        <color rgb="FF000000"/>
        <rFont val="Arial"/>
        <family val="2"/>
      </rPr>
      <t xml:space="preserve">ensaios de recepción, produto terminado, asesoramento á D.O. e redacción de informes) non se entablecen ensaios de autocontrol</t>
    </r>
  </si>
  <si>
    <t xml:space="preserve">2.1 Modificación da porcentaxe de ensaios de recepción, produto terminado, asesoramento á D.O. e redacción de informes</t>
  </si>
  <si>
    <t xml:space="preserve">Esta porcentaxe pode modificarse, en función das características de cada obra, ben modificando o valor da celda indicada nesta folla, se se quere aplicar de maneira xenérica a todos os ensaios unha determinada porcentaxe, ou ben modificando o valor da celda da columna % dos ensaios de contraste, se o que se quere é modificar esta porcentaxe soamente nun ensaio en concreto.</t>
  </si>
  <si>
    <t xml:space="preserve">2.2 Restauración da porcentaxe de ensaios de recepción, produto terminado, asesoramento á D.O. e redacción de informes - valor xenérico</t>
  </si>
  <si>
    <r>
      <rPr>
        <sz val="10"/>
        <color rgb="FF000000"/>
        <rFont val="Arial"/>
        <family val="2"/>
        <charset val="1"/>
      </rPr>
      <t xml:space="preserve">Para voltar a aplicar nunha cela a porcentaxe xenérica de ensaios de recepción, produto terminado, asesoramento á D.O. e redacción de informes indicada nesta folla, escribir na cela a fórmula “</t>
    </r>
    <r>
      <rPr>
        <sz val="10"/>
        <color rgb="FF000000"/>
        <rFont val="Courier New"/>
        <family val="3"/>
      </rPr>
      <t xml:space="preserve">=pxautocontrol”.</t>
    </r>
  </si>
  <si>
    <t xml:space="preserve">Introduza a porcentaxe xenérica de ensaios de recepción, produto terminado, asesoramento á D.O. e redacción de informes na seguinte cela de fondo azul.……………………………………………………………………………………………….</t>
  </si>
  <si>
    <t xml:space="preserve">3. Ensaios que non son de aplicación </t>
  </si>
  <si>
    <t xml:space="preserve">En función da tipoloxía da obra, deben eliminarse as filas correspondentes aos ensaios que non sexan de aplicación, coa finalidade de particularizar o plan de ensaios á obra en cuestión.</t>
  </si>
  <si>
    <t xml:space="preserve">4. Introdución das medicións e de outros parámetros necesarios para a elaboración do Plan de Ensaios</t>
  </si>
  <si>
    <r>
      <rPr>
        <sz val="10"/>
        <color rgb="FF000000"/>
        <rFont val="Arial"/>
        <family val="2"/>
        <charset val="1"/>
      </rPr>
      <t xml:space="preserve">Nas celas da </t>
    </r>
    <r>
      <rPr>
        <b val="true"/>
        <sz val="10"/>
        <color rgb="FF000000"/>
        <rFont val="Arial"/>
        <family val="2"/>
      </rPr>
      <t xml:space="preserve">columna “A” sombreadas en cor azul</t>
    </r>
    <r>
      <rPr>
        <sz val="10"/>
        <color rgb="FF000000"/>
        <rFont val="Arial"/>
        <family val="2"/>
      </rPr>
      <t xml:space="preserve"> celeste débense introducir as medicións necesarias para o Plan de Ensaios.</t>
    </r>
  </si>
  <si>
    <t xml:space="preserve">Á hora de introducir a medición da unidade correspondente, debe prestarse atención á unidade de medida na que debe ser introducida a dita medición, e que aparece indicada na cela situada a continuación. </t>
  </si>
  <si>
    <t xml:space="preserve">Outros parámetros necesarios para o Plan de Ensaios (por exemplo, categoría de tráfico pesado, tipo de mestura, etc)  que se indican convenientemente en cada caso nunca cela anexa.</t>
  </si>
  <si>
    <r>
      <rPr>
        <sz val="10"/>
        <color rgb="FF000000"/>
        <rFont val="Arial"/>
        <family val="2"/>
        <charset val="1"/>
      </rPr>
      <t xml:space="preserve">Neste suposto a información a introducir deberá coincidir </t>
    </r>
    <r>
      <rPr>
        <b val="true"/>
        <sz val="10"/>
        <color rgb="FF000000"/>
        <rFont val="Arial"/>
        <family val="2"/>
      </rPr>
      <t xml:space="preserve">exactamente</t>
    </r>
    <r>
      <rPr>
        <sz val="10"/>
        <color rgb="FF000000"/>
        <rFont val="Arial"/>
        <family val="2"/>
      </rPr>
      <t xml:space="preserve"> co texto das opcións dadas entre paréntese. Por exemplo, para o tipo de capa, debe introducirse unha das seguintes: rodadura, intermedia ou base</t>
    </r>
  </si>
  <si>
    <t xml:space="preserve">5. Introdución de novos ensaios para a elaboración do Plan de Ensaios</t>
  </si>
  <si>
    <t xml:space="preserve">A folla “Plan de ensaios” elaborouse intentando recoller as unidades de obra máis habituais presentes nas obras realizadas pola Axencia Galega de Infraestruturas. Para cada unidade establecéronse os ensaios a realizar e a frecuencia dos mesmos (lote) en base á normativa de aplicación, ou as normas de boa práctica.</t>
  </si>
  <si>
    <t xml:space="preserve">Na folla “Prezos” aparecen tanto os prezos dos ensaios efectivamente empregados na folla “Plan de ensaios” como os prezos doutros ensaios para a súa utilización no caso de que fosen necesarios nalgunha obra en particular.</t>
  </si>
  <si>
    <t xml:space="preserve">Para introducir novos ensaios na folla “Plan de Ensaios” procedentes da folla “Prezos”,  procederase do seguinte xeito:</t>
  </si>
  <si>
    <t xml:space="preserve">1) crear unha nova fila na unidade correspondente da folla “Plan de Ensaios”</t>
  </si>
  <si>
    <t xml:space="preserve">2) obter o código de ensaio que consta na folla “Prezos”</t>
  </si>
  <si>
    <t xml:space="preserve">3) copiar o código de ensaio na devandita fila, na columna correspondente ao código de ensaio (actualmente é a columna D)</t>
  </si>
  <si>
    <t xml:space="preserve">4) para obter a descrición do ensaio a partir do código, copiar calquera das celas da columna “Descrición do ensaio” que estean asociadas a ensaios e pegala na nova fila creada. A descrición correcta aparecerá automaticamente </t>
  </si>
  <si>
    <t xml:space="preserve">5) para obter o prezo do ensaio a partir do código, proceder de análoga forma que no punto 4), esta vez copiando e pegando calquera das celas da columna “Prezo Unitario (s/código)” do apartado “Ensaios de Autocontrol”. O prezo asociado ao ensaio aparece automaticamente </t>
  </si>
  <si>
    <t xml:space="preserve">6) proceder analogamente, no seu caso, co resto de celas, segundo as particularidades do ensaio que se estea a introducir</t>
  </si>
  <si>
    <t xml:space="preserve">6. Columna “Q” de observacións</t>
  </si>
  <si>
    <t xml:space="preserve">Debe prestarse atención á información recollida nalgúns ensaios no apartado de observacións.</t>
  </si>
  <si>
    <t xml:space="preserve">Laboratorio externo a contratar pola Administración</t>
  </si>
  <si>
    <t xml:space="preserve">Laboratorio PAC a contratar  polo contratista</t>
  </si>
  <si>
    <t xml:space="preserve">v.1 – 25/06/2025</t>
  </si>
  <si>
    <t xml:space="preserve">ENSAIOS DE RECEPCIÓN, PRODUTO TERMINADO, ASESORAMENTO Á D.O. E REDACCIÓN DE INFORMES</t>
  </si>
  <si>
    <t xml:space="preserve">ENSAIOS DE AUTOCONTROL E CONTROL DE PRODUCIÓN</t>
  </si>
  <si>
    <t xml:space="preserve">REVISION</t>
  </si>
  <si>
    <t xml:space="preserve">% xenérica (30%-60%)</t>
  </si>
  <si>
    <t xml:space="preserve">Medición Proxecto</t>
  </si>
  <si>
    <t xml:space="preserve">Ud.</t>
  </si>
  <si>
    <t xml:space="preserve">Código 
Ensaio</t>
  </si>
  <si>
    <t xml:space="preserve">Descrición Ensaio (a partir de código)</t>
  </si>
  <si>
    <t xml:space="preserve">Lote</t>
  </si>
  <si>
    <t xml:space="preserve">Nº ensaios por lote</t>
  </si>
  <si>
    <t xml:space="preserve">Nº
Lotes</t>
  </si>
  <si>
    <t xml:space="preserve">% </t>
  </si>
  <si>
    <t xml:space="preserve">Nº
Ensaios</t>
  </si>
  <si>
    <t xml:space="preserve">Prezo unitario </t>
  </si>
  <si>
    <t xml:space="preserve">Total €</t>
  </si>
  <si>
    <t xml:space="preserve">Prezo unitario
(s/código)</t>
  </si>
  <si>
    <t xml:space="preserve">Observacións</t>
  </si>
  <si>
    <t xml:space="preserve">1. MOVEMENTO DE TERRAS</t>
  </si>
  <si>
    <t xml:space="preserve">1.1 Terrapléns, pedrapléns, recheos e escolleras</t>
  </si>
  <si>
    <t xml:space="preserve">TERRAPLÉN</t>
  </si>
  <si>
    <t xml:space="preserve">Ensaios de identificación e clasificación</t>
  </si>
  <si>
    <t xml:space="preserve">m³</t>
  </si>
  <si>
    <t xml:space="preserve">Coroación 
Lote: 5000/10.000m3, mínimo 1 por natureza.</t>
  </si>
  <si>
    <t xml:space="preserve">MT001</t>
  </si>
  <si>
    <t xml:space="preserve">ok</t>
  </si>
  <si>
    <t xml:space="preserve">MT003</t>
  </si>
  <si>
    <t xml:space="preserve">MT004</t>
  </si>
  <si>
    <t xml:space="preserve">MT005</t>
  </si>
  <si>
    <t xml:space="preserve">MT007</t>
  </si>
  <si>
    <t xml:space="preserve">MT009</t>
  </si>
  <si>
    <t xml:space="preserve">MT010</t>
  </si>
  <si>
    <t xml:space="preserve">MT012</t>
  </si>
  <si>
    <t xml:space="preserve">MT013</t>
  </si>
  <si>
    <t xml:space="preserve">Núcleo e cimento 
Lote: 10.000/20.000 m³, mínimo 1 por natureza.</t>
  </si>
  <si>
    <t xml:space="preserve">Ensaios de control de compactación (e tongada = 0,30 m)</t>
  </si>
  <si>
    <t xml:space="preserve">m²</t>
  </si>
  <si>
    <t xml:space="preserve">Coroación 
Lote: 500m, 3500m2, fracción diaria ou mesmo material</t>
  </si>
  <si>
    <t xml:space="preserve">MT020</t>
  </si>
  <si>
    <t xml:space="preserve">revisado</t>
  </si>
  <si>
    <t xml:space="preserve">MT023</t>
  </si>
  <si>
    <t xml:space="preserve">Núcleo terraplens h&lt;5m 
Lote: 500m, 5000m2, fracción diaria ou mesmo material</t>
  </si>
  <si>
    <t xml:space="preserve">Núcleo terraplens h&gt;5m
Lote: 500m, 10.000m2, fracción diaria ou mesmo material</t>
  </si>
  <si>
    <t xml:space="preserve">PEDRAPLÉN</t>
  </si>
  <si>
    <t xml:space="preserve">Ensaios de identificación e clasificación
Lote: 20.000m3
</t>
  </si>
  <si>
    <t xml:space="preserve">MT014</t>
  </si>
  <si>
    <t xml:space="preserve">MT002</t>
  </si>
  <si>
    <t xml:space="preserve">Ensaios de control de compactación (e tongada = 0,60 m)</t>
  </si>
  <si>
    <t xml:space="preserve">Ensaios de control de compactación
Lote: 5.000 m²
(e tongada=0,6 m)</t>
  </si>
  <si>
    <t xml:space="preserve">MT022</t>
  </si>
  <si>
    <t xml:space="preserve">RECHEOS LOCALIZADOS (ZANXAS, TRASDOSADO OF, CIMENTACIÓNS E APOIO DE ESTRIBOS)</t>
  </si>
  <si>
    <t xml:space="preserve">Ensaios de identificación e clasificación
Lote: 5000/10.000m3, mínimo 1 por natureza
</t>
  </si>
  <si>
    <t xml:space="preserve">Ensaios de control de compactación (e tongada = 0,25 m)</t>
  </si>
  <si>
    <t xml:space="preserve">Ensaios de control de compactación
Lote: 500m, 3500m2, fracción diaria ou mesmo material
(e tongada = 0,25 m) </t>
  </si>
  <si>
    <t xml:space="preserve">RECHEOS TODO UN</t>
  </si>
  <si>
    <t xml:space="preserve">Coroación
Lote: 5000/10.000m3, mínimo 1 por natureza.</t>
  </si>
  <si>
    <t xml:space="preserve">Núcleo 
Lote: 10.000/20.000 m³, mínimo 1 por natureza.</t>
  </si>
  <si>
    <t xml:space="preserve">Ensaios de control de compactación (e tongada = 0,4 m)</t>
  </si>
  <si>
    <t xml:space="preserve">Coroación
 Lote: 500m, 3500m2, fracción diaria ou mesmo material</t>
  </si>
  <si>
    <t xml:space="preserve">revisado2</t>
  </si>
  <si>
    <t xml:space="preserve">Núcleo h&lt;5m
Lote: 500m, 5000m2, fracción diaria ou mesmo material</t>
  </si>
  <si>
    <t xml:space="preserve">Núcleo  h&gt;5m
Lote: 500m, 10.000m2, fracción diaria ou mesmo material</t>
  </si>
  <si>
    <t xml:space="preserve">RECHEOS LOCALIZADOS DE MATERIAL DRENANTE</t>
  </si>
  <si>
    <t xml:space="preserve">Ensaios de identificación e clasificación
Lote: 5.000 m³, mínimo un por natureza.
</t>
  </si>
  <si>
    <t xml:space="preserve">MT016</t>
  </si>
  <si>
    <t xml:space="preserve">MT017</t>
  </si>
  <si>
    <t xml:space="preserve">ESCOLLERA</t>
  </si>
  <si>
    <t xml:space="preserve">Ensaios de identificación e clasificación
Lote: 50.000 m³, mínimo un por natureza.
</t>
  </si>
  <si>
    <t xml:space="preserve">MT019</t>
  </si>
  <si>
    <t xml:space="preserve">MT018</t>
  </si>
  <si>
    <t xml:space="preserve">MT015</t>
  </si>
  <si>
    <t xml:space="preserve">MT028</t>
  </si>
  <si>
    <t xml:space="preserve">2. FIRMES E PAVIMENTOS</t>
  </si>
  <si>
    <t xml:space="preserve">Categoría Tráfico Pesado: 
(00,0,1,2,31,32,41 ou 42)</t>
  </si>
  <si>
    <t xml:space="preserve">2.1 Solocemento, gravacemento e saburras</t>
  </si>
  <si>
    <t xml:space="preserve">SOLO ESTABILIZADO IN SITU CON CAL O CEMENTO PARA FORMACIÓN DE EXPLANADA</t>
  </si>
  <si>
    <t xml:space="preserve">Tipo S-EST: (1, 2 ou 3)</t>
  </si>
  <si>
    <t xml:space="preserve">Ensaios de control de procedencia (SEST)</t>
  </si>
  <si>
    <t xml:space="preserve">Repita os ensaios de control de procedencia por cada procedencia distinta</t>
  </si>
  <si>
    <t xml:space="preserve">Ensaios de control de procedencia
Lote: 5.000 m3 a partir de los primeros 20.000m3 y 4 si cantidad&lt;20.000m3</t>
  </si>
  <si>
    <t xml:space="preserve">F001</t>
  </si>
  <si>
    <t xml:space="preserve">F002</t>
  </si>
  <si>
    <t xml:space="preserve">F003</t>
  </si>
  <si>
    <t xml:space="preserve">F004</t>
  </si>
  <si>
    <t xml:space="preserve">F009</t>
  </si>
  <si>
    <t xml:space="preserve">F010</t>
  </si>
  <si>
    <t xml:space="preserve">Comprobación da fórmula de traballo no tramo de proba (SEST)</t>
  </si>
  <si>
    <t xml:space="preserve">tramo</t>
  </si>
  <si>
    <t xml:space="preserve">Comprobación da fórmula de traballo no tramo de proba</t>
  </si>
  <si>
    <t xml:space="preserve">F020</t>
  </si>
  <si>
    <t xml:space="preserve">F007</t>
  </si>
  <si>
    <t xml:space="preserve">Para S-EST 1 e S-EST 2. Fabricación de 3 probetas por cada muestra</t>
  </si>
  <si>
    <t xml:space="preserve">F021</t>
  </si>
  <si>
    <t xml:space="preserve">Para S-EST 3. Fabricación de 3 probetas por cada muestra.</t>
  </si>
  <si>
    <t xml:space="preserve">Ensaios de control de execución (SEST)</t>
  </si>
  <si>
    <t xml:space="preserve">Lote: 500m, 3500m2 ou fracción diaria</t>
  </si>
  <si>
    <t xml:space="preserve">F015</t>
  </si>
  <si>
    <t xml:space="preserve">2 mostras diarias antes de mesturar co conglomerante</t>
  </si>
  <si>
    <t xml:space="preserve">Para S-EST 1 e S-EST 2. Fabricación de 3 probetas por cada mostra</t>
  </si>
  <si>
    <t xml:space="preserve">Para S-EST 3. Fabricación de 3 probetas por cada mostra.</t>
  </si>
  <si>
    <t xml:space="preserve">Lote: 10.000m3 ou 1 vez á semana</t>
  </si>
  <si>
    <t xml:space="preserve">F005</t>
  </si>
  <si>
    <t xml:space="preserve">Ensaios de control de recepción (SEST)
</t>
  </si>
  <si>
    <t xml:space="preserve">m</t>
  </si>
  <si>
    <t xml:space="preserve">Lote: 1000m (So para tráficos T00 a T2)</t>
  </si>
  <si>
    <t xml:space="preserve">Lonxitude actuación x n.º carriles</t>
  </si>
  <si>
    <t xml:space="preserve">F029</t>
  </si>
  <si>
    <t xml:space="preserve">ud</t>
  </si>
  <si>
    <t xml:space="preserve">Soamente para tráficos T00 a T2</t>
  </si>
  <si>
    <t xml:space="preserve">F030</t>
  </si>
  <si>
    <t xml:space="preserve">F031</t>
  </si>
  <si>
    <t xml:space="preserve">xornada</t>
  </si>
  <si>
    <t xml:space="preserve">Soamente para tráficos T00 a T2 e menos de 3km
Estimase entre 50-75 medidas por xornada (cada 20m, saen 1-1,5km por xornada)</t>
  </si>
  <si>
    <t xml:space="preserve">F032</t>
  </si>
  <si>
    <t xml:space="preserve">Soamente para tráficos T00 a T2 e máis de 3km</t>
  </si>
  <si>
    <t xml:space="preserve">F033</t>
  </si>
  <si>
    <t xml:space="preserve">SABURRA</t>
  </si>
  <si>
    <t xml:space="preserve">Ensaios de control de procedencia (saburra)</t>
  </si>
  <si>
    <t xml:space="preserve">Ensaios de control de procedencia 
(So para materiais sen marcado CE)
Lote: para calquera volume  mínimo  4 mostras, engadíndose unha máis por cada 10.000 m3 ou fracción, de exceso sobre 50.000 m3</t>
  </si>
  <si>
    <t xml:space="preserve">-</t>
  </si>
  <si>
    <t xml:space="preserve">F011</t>
  </si>
  <si>
    <t xml:space="preserve">F012</t>
  </si>
  <si>
    <t xml:space="preserve">F013</t>
  </si>
  <si>
    <t xml:space="preserve">F014</t>
  </si>
  <si>
    <t xml:space="preserve">F016</t>
  </si>
  <si>
    <t xml:space="preserve">F017</t>
  </si>
  <si>
    <t xml:space="preserve">Ensaios de control de execución (fabricación)  (saburra)</t>
  </si>
  <si>
    <t xml:space="preserve">Ensaios de control de execución (fabricación)
So para materiais sen marcado CE
</t>
  </si>
  <si>
    <t xml:space="preserve">Lote: 2 mostras cada 1.000 m³ ou fracción diaria</t>
  </si>
  <si>
    <t xml:space="preserve">Lote: 1 mostra cada 5.000 m³ ou fracción semanal</t>
  </si>
  <si>
    <t xml:space="preserve">Lote: 1 mostra cada 20.000 m³ ou fracción mensual</t>
  </si>
  <si>
    <t xml:space="preserve">Ensaios de control de recepción  (saburra)
</t>
  </si>
  <si>
    <t xml:space="preserve">Lote: 1000m</t>
  </si>
  <si>
    <t xml:space="preserve">SOLOCEMENTO</t>
  </si>
  <si>
    <t xml:space="preserve">Ensaios de control de procedencia (SC)</t>
  </si>
  <si>
    <t xml:space="preserve">procedencias</t>
  </si>
  <si>
    <t xml:space="preserve">Ensaios de control de procedencia
(So materiais sen marcado CE)
Lote: para calquera volume  mínimo  4 mostras</t>
  </si>
  <si>
    <t xml:space="preserve">proced.</t>
  </si>
  <si>
    <t xml:space="preserve">correccion v2008</t>
  </si>
  <si>
    <t xml:space="preserve">F018</t>
  </si>
  <si>
    <t xml:space="preserve">Comprobación da fórmula de traballo no tramo de proba (SC)</t>
  </si>
  <si>
    <t xml:space="preserve">Ensaios de control de execución (fabricación) (SC)</t>
  </si>
  <si>
    <t xml:space="preserve">Soamente áridos sen marcado CE</t>
  </si>
  <si>
    <t xml:space="preserve">Ensaios de control de execución (posta en obra) (SC)</t>
  </si>
  <si>
    <t xml:space="preserve">Ensaios de control de execución: posta en obra
Lote: 500m, 3500m2 ou fracción diaria </t>
  </si>
  <si>
    <t xml:space="preserve">Tráfico T00 a T1: 3 ensaios por lote
Tráfico T2 a T4: 2 ensaios por lote</t>
  </si>
  <si>
    <t xml:space="preserve">Ensaios de control de recepción (SC)
</t>
  </si>
  <si>
    <t xml:space="preserve">F028</t>
  </si>
  <si>
    <t xml:space="preserve">Mínimo 3 testemuñas</t>
  </si>
  <si>
    <t xml:space="preserve">Lote: 1000m </t>
  </si>
  <si>
    <t xml:space="preserve">igual q antes</t>
  </si>
  <si>
    <t xml:space="preserve">GRAVACEMENTO</t>
  </si>
  <si>
    <t xml:space="preserve">Ensaios de control de procedencia (GC)</t>
  </si>
  <si>
    <t xml:space="preserve">Do árido groso. Soamente áridos sen marcado CE</t>
  </si>
  <si>
    <t xml:space="preserve">F019</t>
  </si>
  <si>
    <t xml:space="preserve">Do árido fino. Soamente áridos sen marcado CE</t>
  </si>
  <si>
    <t xml:space="preserve">Comprobación da fórmula de traballo no tramo de proba (GC)</t>
  </si>
  <si>
    <t xml:space="preserve">Ensaios de control de execución (fabricación) (GC)</t>
  </si>
  <si>
    <t xml:space="preserve">Ensaios de control de execución (posta en obra) (GC)</t>
  </si>
  <si>
    <t xml:space="preserve">Ensaios de control de recepción (GC)
</t>
  </si>
  <si>
    <t xml:space="preserve">2.2 Mesturas bituminosas, microaglomerados e os seus compoñentes</t>
  </si>
  <si>
    <t xml:space="preserve">Betumes asfálticos </t>
  </si>
  <si>
    <t xml:space="preserve">Tn</t>
  </si>
  <si>
    <t xml:space="preserve">Ensaios de control á entrada do mesturador
Lote: 2 mostras cada 300Tn, reservando unha para ensaios de contraste</t>
  </si>
  <si>
    <t xml:space="preserve">F052</t>
  </si>
  <si>
    <t xml:space="preserve">F053</t>
  </si>
  <si>
    <t xml:space="preserve">F054</t>
  </si>
  <si>
    <t xml:space="preserve">Betumes asfálticos modificados con polímeros</t>
  </si>
  <si>
    <t xml:space="preserve">F055</t>
  </si>
  <si>
    <t xml:space="preserve">Emulsións bituminosas </t>
  </si>
  <si>
    <t xml:space="preserve">Ensaios de control no momento de emprego
Lote: 2 mostras cada 30Tn ou fracción diaria. No caso de regas de adherencia, imprimación ou curado, 2 mostras cada fracción semanal.
Unha das mostras reservarase para ensaios de contraste
</t>
  </si>
  <si>
    <t xml:space="preserve">F057</t>
  </si>
  <si>
    <t xml:space="preserve">F058</t>
  </si>
  <si>
    <t xml:space="preserve">F059</t>
  </si>
  <si>
    <t xml:space="preserve">F060</t>
  </si>
  <si>
    <t xml:space="preserve">Regas de imprimación, adherencia e curado</t>
  </si>
  <si>
    <t xml:space="preserve">Ensaios de control execución
Lote: 500m, 3.500m2 ou fracción diaria
</t>
  </si>
  <si>
    <t xml:space="preserve">F061</t>
  </si>
  <si>
    <t xml:space="preserve">Áridos e po mineral </t>
  </si>
  <si>
    <t xml:space="preserve">Ensaios de control de procedencia </t>
  </si>
  <si>
    <t xml:space="preserve">Ensaios de control de procedencia: (So para materiais sen marcado CE)
Lote: para calquera volume mínimo 4 mostras</t>
  </si>
  <si>
    <t xml:space="preserve">Árido groso</t>
  </si>
  <si>
    <t xml:space="preserve">F040</t>
  </si>
  <si>
    <t xml:space="preserve">F041</t>
  </si>
  <si>
    <t xml:space="preserve">Soamente áridos sen marcado CE.
Considéranse 4 ensaios por fracción (3 fraccións) </t>
  </si>
  <si>
    <t xml:space="preserve">F042</t>
  </si>
  <si>
    <t xml:space="preserve">F044</t>
  </si>
  <si>
    <t xml:space="preserve">Árido fino</t>
  </si>
  <si>
    <t xml:space="preserve">F046</t>
  </si>
  <si>
    <t xml:space="preserve">Soamente áridos sen marcado CE
Considéranse 4 ensaios por fracción (2 fraccións)</t>
  </si>
  <si>
    <t xml:space="preserve">F047</t>
  </si>
  <si>
    <t xml:space="preserve">Po mineral</t>
  </si>
  <si>
    <t xml:space="preserve">F048</t>
  </si>
  <si>
    <t xml:space="preserve">Soamente material sen marcado CE</t>
  </si>
  <si>
    <t xml:space="preserve">F049</t>
  </si>
  <si>
    <t xml:space="preserve">Ensaios de control de calidade (áridos e pó mineral)</t>
  </si>
  <si>
    <t xml:space="preserve">Áridos</t>
  </si>
  <si>
    <t xml:space="preserve">Lote: 500Tn</t>
  </si>
  <si>
    <t xml:space="preserve">Soamente áridos sen marcado CE.
1 ensaio por fracción (5 fraccións)</t>
  </si>
  <si>
    <t xml:space="preserve">Soamente áridos sen marcado CE.
Do árido combinado (incluído o po mineral)</t>
  </si>
  <si>
    <t xml:space="preserve">semana</t>
  </si>
  <si>
    <t xml:space="preserve">Lote: semana ou por cambio de procedencia</t>
  </si>
  <si>
    <t xml:space="preserve">Soamente áridos sen marcado CE.
1 ensaio por fracción (3 fraccións)</t>
  </si>
  <si>
    <t xml:space="preserve">mes</t>
  </si>
  <si>
    <t xml:space="preserve">Lote: mes ou por cambio de procedencia</t>
  </si>
  <si>
    <t xml:space="preserve">Soamente áridos sen marcado CE.
1 ensaio por fracción (2 fraccións)</t>
  </si>
  <si>
    <t xml:space="preserve">Po mineral de aportación</t>
  </si>
  <si>
    <t xml:space="preserve">partida</t>
  </si>
  <si>
    <t xml:space="preserve">Po mineral de aportación
Lote: 1 muestra por partida de po mineral de aportación
</t>
  </si>
  <si>
    <t xml:space="preserve">Ensaios de control de calidade (áridos e po mineral)
</t>
  </si>
  <si>
    <t xml:space="preserve">Po mineral procedente dos áridos</t>
  </si>
  <si>
    <t xml:space="preserve">procedencia</t>
  </si>
  <si>
    <t xml:space="preserve">Lote: día ou por procedencia</t>
  </si>
  <si>
    <t xml:space="preserve">Lote: semana ou por procedencia</t>
  </si>
  <si>
    <t xml:space="preserve">Mesturas bituminosas tipo formigón bituminoso </t>
  </si>
  <si>
    <t xml:space="preserve">Número de tipos de mesturas empregadas, de tipo:
 (AC16D, AC22D, AC16S, AC22S, AC32S,AC22G ou AC32G)</t>
  </si>
  <si>
    <t xml:space="preserve">Indique co valor 1 (SI) ou 0 (NON) si existen as seguintes capas:
(soamente as feitas con formigón bituminoso)</t>
  </si>
  <si>
    <t xml:space="preserve">rodadura(AC)</t>
  </si>
  <si>
    <t xml:space="preserve">intermedia(AC)</t>
  </si>
  <si>
    <t xml:space="preserve">base(AC)</t>
  </si>
  <si>
    <t xml:space="preserve">nº capas tipo 
ACXXX</t>
  </si>
  <si>
    <t xml:space="preserve">Comprobación da fórmula de traballo no tramo de proba (formigón bituminoso)</t>
  </si>
  <si>
    <t xml:space="preserve">Lote: mestura</t>
  </si>
  <si>
    <t xml:space="preserve">F063</t>
  </si>
  <si>
    <t xml:space="preserve">mestura</t>
  </si>
  <si>
    <t xml:space="preserve">F066</t>
  </si>
  <si>
    <t xml:space="preserve">F068</t>
  </si>
  <si>
    <t xml:space="preserve">F069</t>
  </si>
  <si>
    <t xml:space="preserve">F070</t>
  </si>
  <si>
    <t xml:space="preserve">F076</t>
  </si>
  <si>
    <t xml:space="preserve">Mínimo 3 por lote</t>
  </si>
  <si>
    <t xml:space="preserve">F079</t>
  </si>
  <si>
    <t xml:space="preserve">Soamente capa de rodadura</t>
  </si>
  <si>
    <t xml:space="preserve">F078</t>
  </si>
  <si>
    <t xml:space="preserve">Soamente capa de rodadura. Mínimo 3 puntos por lote</t>
  </si>
  <si>
    <t xml:space="preserve">Ensaios de control de fabricación (formigón bituminoso)
</t>
  </si>
  <si>
    <t xml:space="preserve">Ensaios de control de fabricación
</t>
  </si>
  <si>
    <t xml:space="preserve">Lote: 500Tn. </t>
  </si>
  <si>
    <t xml:space="preserve">Tomaranse ás mostras á saida do mesturador ou silo de almacenamento</t>
  </si>
  <si>
    <t xml:space="preserve">Lote: mes. Estimase unha produción diaria de 1.200Tn.</t>
  </si>
  <si>
    <t xml:space="preserve">Ensaios de control de execución: Posta en obra (formigón bituminoso)</t>
  </si>
  <si>
    <t xml:space="preserve">Ensaios de control de execución: Posta en obra
Lote: 500m, 3.500m2 ou fracción diaria</t>
  </si>
  <si>
    <t xml:space="preserve">Ensaios de control de recepción (formigón bituminoso) (art. 542.9.4 PG-3)</t>
  </si>
  <si>
    <t xml:space="preserve">Lote: 500m, 3500m2 ou fracción diaria, por cada capa de MB </t>
  </si>
  <si>
    <t xml:space="preserve">Mínimo 3 por lote (nº ensaios multiplo de 3)</t>
  </si>
  <si>
    <t xml:space="preserve">F077</t>
  </si>
  <si>
    <t xml:space="preserve">Sobre as testemuñas extraídas. Salvo capa de base</t>
  </si>
  <si>
    <t xml:space="preserve">Soamente capa de rodadura. Mínimo 3 puntos por lote (nº ensaios multiplo de 3)</t>
  </si>
  <si>
    <t xml:space="preserve">m (x nº carrís)</t>
  </si>
  <si>
    <t xml:space="preserve">Lote: 1000m , por cada capa de MB</t>
  </si>
  <si>
    <t xml:space="preserve">F082</t>
  </si>
  <si>
    <t xml:space="preserve">Ud</t>
  </si>
  <si>
    <t xml:space="preserve">Soamente capa de rodadura. Para lonxitudes superiores a 30km (lonxitude de carril)</t>
  </si>
  <si>
    <t xml:space="preserve">F083</t>
  </si>
  <si>
    <t xml:space="preserve">treitos de 100m</t>
  </si>
  <si>
    <t xml:space="preserve">Soamente capa de rodadura. Para lonxitudes inferiores a 30km. Mostraxe e frecuencia segundo Norma UNE 135204:2010. Estimánse por xornada 16 puntos de medida en treitos de 100m de lonxitude.
NOTA: La longitud del carril debe dividirse en tramos de 100m, de todos los tramos resultantes se ensayará una muestra formada por (L/5000) partes, con un mínimo de 3 partes. Se estima que se tarda 30 minutos en medir en cada tramo de 100m (medicion puntual)  y desplazarse al tramo siguiente.</t>
  </si>
  <si>
    <t xml:space="preserve">Mesturas bituminosas para capas de rodadura. Mesturas descontinuas. </t>
  </si>
  <si>
    <t xml:space="preserve">Tipo de mestura: (BBTMA ou BBTMB)</t>
  </si>
  <si>
    <t xml:space="preserve">espesor en cm</t>
  </si>
  <si>
    <t xml:space="preserve">Comprobación da fórmula de traballo no tramo de proba (mesturas descontinuas). </t>
  </si>
  <si>
    <t xml:space="preserve">Mínimo 3 por lote </t>
  </si>
  <si>
    <t xml:space="preserve">Mínimo 3 puntos por lote</t>
  </si>
  <si>
    <t xml:space="preserve">F084</t>
  </si>
  <si>
    <t xml:space="preserve">Soamente BBTM-B e espesor&gt;2,5cm. 
Mínimo 10 determinacións</t>
  </si>
  <si>
    <t xml:space="preserve">Ensaios de control de fabricación (mesturas descontinuas)</t>
  </si>
  <si>
    <t xml:space="preserve">Ensaios de control de fabricación: (Estimase unha producción diaria de 1200 Tn)</t>
  </si>
  <si>
    <t xml:space="preserve">Lote: 300Tn</t>
  </si>
  <si>
    <t xml:space="preserve">Lote: mes. Estimase unha producción diaria de 1200 Tn </t>
  </si>
  <si>
    <t xml:space="preserve">Ensaios de control de execución: posta en obra </t>
  </si>
  <si>
    <t xml:space="preserve">Ensaios de control de recepción (MB descontinuas)</t>
  </si>
  <si>
    <t xml:space="preserve">Sobre as testemuñas extraídas. </t>
  </si>
  <si>
    <t xml:space="preserve"> Mínimo 3 puntos por lote</t>
  </si>
  <si>
    <t xml:space="preserve">MICROAGLOMERADOS EN FRÍO E OS SEUS COMPOÑENTES</t>
  </si>
  <si>
    <t xml:space="preserve">Emulsións bituminosas (para microaglomerados en frío)</t>
  </si>
  <si>
    <t xml:space="preserve">Ensaios de control no momento de emprego</t>
  </si>
  <si>
    <t xml:space="preserve">Regas de imprimación, adherencia e curado (para microaglomerados en frío)</t>
  </si>
  <si>
    <t xml:space="preserve">Áridos e po mineral (para microaglomerados en frío)</t>
  </si>
  <si>
    <t xml:space="preserve">Ensaios de control de procedencia (áridos e pó mineral) (540.9.1.2 e 540.9.1.3 PG-3)</t>
  </si>
  <si>
    <t xml:space="preserve">Ensaios de control de procedencia (So para materiais sen marcado CE)
Lote: por cada procedencia, para calquera volume mínimo 4 mostras</t>
  </si>
  <si>
    <t xml:space="preserve">proced</t>
  </si>
  <si>
    <t xml:space="preserve">Soamente áridos sen marcado CE. Considéranse 4 ensaios por fracción (1 fracción) </t>
  </si>
  <si>
    <t xml:space="preserve">Ensaios de control de calidade </t>
  </si>
  <si>
    <t xml:space="preserve">Ensaios de control de calidade (So para materiais sen marcado CE)
</t>
  </si>
  <si>
    <t xml:space="preserve">Lote: 70 Tn</t>
  </si>
  <si>
    <t xml:space="preserve">Do árido combinado. Soamente áridos sen marcado CE</t>
  </si>
  <si>
    <t xml:space="preserve">Do árido combinado (incluído o po mineral). Soamente áridos sen marcado CE</t>
  </si>
  <si>
    <t xml:space="preserve">Microaglomerado en frío </t>
  </si>
  <si>
    <t xml:space="preserve">Comprobación da fórmula de traballo no tramo de proba (microaglomerado en frío)</t>
  </si>
  <si>
    <t xml:space="preserve">tramos</t>
  </si>
  <si>
    <t xml:space="preserve">Comprobación da fórmula de traballo no tramo de proba
</t>
  </si>
  <si>
    <t xml:space="preserve">F067</t>
  </si>
  <si>
    <t xml:space="preserve">F073</t>
  </si>
  <si>
    <t xml:space="preserve">F074</t>
  </si>
  <si>
    <t xml:space="preserve">F075</t>
  </si>
  <si>
    <t xml:space="preserve">Ensaios de control de execución (microaglomerado en frío)</t>
  </si>
  <si>
    <t xml:space="preserve">días</t>
  </si>
  <si>
    <t xml:space="preserve">Ensaios de control de execución: posta en obra
1 Lote: fracción diaria</t>
  </si>
  <si>
    <t xml:space="preserve">Ensaios de control de recepción (microaglomerado en frío)</t>
  </si>
  <si>
    <t xml:space="preserve">Ensaios de control de recepción</t>
  </si>
  <si>
    <t xml:space="preserve">Lote: fracción diaria</t>
  </si>
  <si>
    <t xml:space="preserve">Soamente capa de rodadura. Para lonxitudes superiores a 30km</t>
  </si>
  <si>
    <t xml:space="preserve">Soamente capa de rodadura. Para lonxitudes inferiores a 30km Muestreo e frecuencia segundo Norma UNE 135204:2010. Estimánse por xornada 16 puntos de medida en treitos de 100m de lonxitude.
NOTA: La longitud del carril debe dividirse en tramos de 100m, de todos los tramos resultantes se ensayará una muestra formada por (L/5000) partes, con un mínimo de 3 partes. Se estima que se tarda 30 minutos en medir en cada tramo de 100m (medicion puntual)  y desplazarse al tramo siguiente.</t>
  </si>
  <si>
    <t xml:space="preserve">2.3 Pavimento de formigón</t>
  </si>
  <si>
    <t xml:space="preserve">Ensaios de control de execución (pavimento formigón)</t>
  </si>
  <si>
    <t xml:space="preserve">en sendas ou similar</t>
  </si>
  <si>
    <t xml:space="preserve">Ensaios de control de execución: Posta en obra
Lote: 500ml. 3.500m² ou fracción diaria</t>
  </si>
  <si>
    <t xml:space="preserve">F089</t>
  </si>
  <si>
    <t xml:space="preserve">Ensaios de control de recepción (pavimento formigón)</t>
  </si>
  <si>
    <t xml:space="preserve"> m2</t>
  </si>
  <si>
    <t xml:space="preserve">Lote: 500ml. 3.500m² ou fracción diaria</t>
  </si>
  <si>
    <t xml:space="preserve">F091</t>
  </si>
  <si>
    <t xml:space="preserve">Mínimo 2 por lote; (mínimo facturable 3 testemuñas)</t>
  </si>
  <si>
    <t xml:space="preserve">ml</t>
  </si>
  <si>
    <t xml:space="preserve">Lote: xornada. </t>
  </si>
  <si>
    <t xml:space="preserve">F092</t>
  </si>
  <si>
    <t xml:space="preserve">Muestreo e frecuencia segundo Norma UNE 135204:2010. Estimánse por xornada 16 puntos de medida en treitos de 100m de lonxitude. NOTA: La longitud debe dividirse en tramos de 100m, de todos los tramos resultantes se ensayará una muestra formada por (L/5000) partes, con un mínimo de 3 partes. Se estima que se tarda 30 minutos en medir en cada tramo de 100m (medicion puntual)  y desplazarse al tramo siguiente.</t>
  </si>
  <si>
    <t xml:space="preserve">3. SINALIZACIÓN E BALIZAMENTO</t>
  </si>
  <si>
    <t xml:space="preserve">3.1 Sinalización horizontal</t>
  </si>
  <si>
    <t xml:space="preserve">Ensaios de control de posta en obra</t>
  </si>
  <si>
    <t xml:space="preserve">Ensaios de control de posta en obra
Lote: 3.000 ml de marca viaria</t>
  </si>
  <si>
    <t xml:space="preserve">S001</t>
  </si>
  <si>
    <t xml:space="preserve">S002</t>
  </si>
  <si>
    <t xml:space="preserve">Soamente para medicións &gt; 30.000 ml Estimase unha velocidade do equipo de 50km/h, polo tanto 400km por xornada</t>
  </si>
  <si>
    <t xml:space="preserve">S003</t>
  </si>
  <si>
    <t xml:space="preserve">Soamente para medicións &gt; 30.000ml.</t>
  </si>
  <si>
    <t xml:space="preserve">S004</t>
  </si>
  <si>
    <t xml:space="preserve">Soamente para medicións ≤ 30.000 ml. Frecuencia e muestreo segundo Norma UNE 135204:2010. Estimánse por xornada 32 puntos de medida en treitos de 100m de lonxitude (18 determinacións por punto de medida) . NOTA: La marca viaria debe dividirse en tramos de 100m, de todos los tramos resultantes se ensayará una muestra formada por (L/5000) partes, con un mínimo de 3 partes. El valor de cada parte será la media de las 18 determinaciones que se hagan en esos 100m de longitud que tiene cada parte. Se estima que se tarda 15 minutos en medir en un tramo 18 puntos y desplazarse al punto siguiente.</t>
  </si>
  <si>
    <t xml:space="preserve">4. ESTRUTURAS</t>
  </si>
  <si>
    <t xml:space="preserve">4.1 FORMIGÓN EN MASA, ARMADO E PRETENSADO</t>
  </si>
  <si>
    <t xml:space="preserve">Formigón HM-20
Lote: 100 m³ (O núm. de lotes non será inferior a 3)</t>
  </si>
  <si>
    <t xml:space="preserve">E001</t>
  </si>
  <si>
    <t xml:space="preserve">m3</t>
  </si>
  <si>
    <t xml:space="preserve">O número de lotes non será inferior a 3</t>
  </si>
  <si>
    <t xml:space="preserve">Formigón HA-25
Lote: 100 m³ (O núm. de lotes non será inferior a 3)</t>
  </si>
  <si>
    <t xml:space="preserve">Formigón HA-30
Lote: 100 m³ (O núm. de lotes non será inferior a 3)</t>
  </si>
  <si>
    <t xml:space="preserve">Formigón HA-35
Lote: 100 m³ (O núm. de lotes non será inferior a 3)</t>
  </si>
  <si>
    <t xml:space="preserve">Formigón HA-40
Lote: 100 m³ (O núm. de lotes non será inferior a 3)</t>
  </si>
  <si>
    <t xml:space="preserve">FORMIGÓN PROXECTADO</t>
  </si>
  <si>
    <t xml:space="preserve">Lote: 100m3</t>
  </si>
  <si>
    <t xml:space="preserve">E004</t>
  </si>
  <si>
    <t xml:space="preserve">E005</t>
  </si>
  <si>
    <t xml:space="preserve">4.2 ACEIRO</t>
  </si>
  <si>
    <t xml:space="preserve">ACEIRO PARA ARMADURAS PASIVAS (Soamente aceiro sen marcado CE)</t>
  </si>
  <si>
    <t xml:space="preserve">Achegue tantas filas como combinacións de diámetros (Ø) e procedencias </t>
  </si>
  <si>
    <t xml:space="preserve">Ø</t>
  </si>
  <si>
    <t xml:space="preserve">Lote: 40 Tn por cada Ø ou procedencia</t>
  </si>
  <si>
    <t xml:space="preserve">E014</t>
  </si>
  <si>
    <t xml:space="preserve">O aceiro non ten marcado CE</t>
  </si>
  <si>
    <t xml:space="preserve">ACEIRO PARA ARMADURAS ACTIVAS (Soamente aceiro sen marcado CE)</t>
  </si>
  <si>
    <t xml:space="preserve">E015</t>
  </si>
  <si>
    <t xml:space="preserve">E016</t>
  </si>
  <si>
    <t xml:space="preserve">4.3 PILOTES</t>
  </si>
  <si>
    <t xml:space="preserve">m (totais)</t>
  </si>
  <si>
    <t xml:space="preserve">Lote: Xornada. 5 pilotes por xornada para pilotes de L&lt;30m e 3 pilotes por xornada para pilotes de 30m &lt; L &lt; 50m</t>
  </si>
  <si>
    <t xml:space="preserve">n.º pilotes</t>
  </si>
  <si>
    <t xml:space="preserve">E026</t>
  </si>
  <si>
    <t xml:space="preserve">Estimase a auscultación de 5 pilotes por xornada para pilotes de L&lt;30m e 3 pilotes por xornada para pilotes de 30m &lt; L &lt; 50m</t>
  </si>
  <si>
    <t xml:space="preserve">4.4 BULÓNS</t>
  </si>
  <si>
    <t xml:space="preserve">Achegue tantas filas como desprazamentos haxa</t>
  </si>
  <si>
    <t xml:space="preserve">Lote: 20 bulóns</t>
  </si>
  <si>
    <t xml:space="preserve">E028</t>
  </si>
  <si>
    <t xml:space="preserve">bulóns</t>
  </si>
  <si>
    <t xml:space="preserve">Mínimo 10 ensaios por desprazamento</t>
  </si>
  <si>
    <t xml:space="preserve">5. REDES DE SERVICIO</t>
  </si>
  <si>
    <t xml:space="preserve">SANEAMENTO E/OU PLUVIAIS</t>
  </si>
  <si>
    <t xml:space="preserve">E171</t>
  </si>
  <si>
    <t xml:space="preserve">A presión calculada previamente é introducida polo instalador. O ensaio consiste en comprobar cun manómetro calibrado que durante 1 hora a presión non descende por encima de 0.2 bares.</t>
  </si>
  <si>
    <t xml:space="preserve">E172</t>
  </si>
  <si>
    <t xml:space="preserve">Mínimo de 400 ml</t>
  </si>
  <si>
    <t xml:space="preserve">ABASTECEMENTO</t>
  </si>
  <si>
    <t xml:space="preserve">1 Lote: 500 m</t>
  </si>
  <si>
    <t xml:space="preserve">TOTAL DEL PLAN DE ENSAIOS </t>
  </si>
  <si>
    <t xml:space="preserve">VOY AQUI</t>
  </si>
  <si>
    <t xml:space="preserve">PBL</t>
  </si>
  <si>
    <t xml:space="preserve">Treito de prezo</t>
  </si>
  <si>
    <t xml:space="preserve">DOC. DE REFERENCIA: LISTADO DE ENSAIOS ALAGAL 2025 (v.0 - 28/02/2025)</t>
  </si>
  <si>
    <t xml:space="preserve">PREZO</t>
  </si>
  <si>
    <t xml:space="preserve">Treito 1</t>
  </si>
  <si>
    <t xml:space="preserve">Treito 2</t>
  </si>
  <si>
    <t xml:space="preserve">Treito 3</t>
  </si>
  <si>
    <t xml:space="preserve">prezo</t>
  </si>
  <si>
    <t xml:space="preserve">UD</t>
  </si>
  <si>
    <t xml:space="preserve">código</t>
  </si>
  <si>
    <t xml:space="preserve">DESCRICIÓN</t>
  </si>
  <si>
    <t xml:space="preserve"> PBL sen IVE ≤ 300.000 €</t>
  </si>
  <si>
    <t xml:space="preserve">300.000 € &lt; PBL sen IVE ≤ 2,0 M€</t>
  </si>
  <si>
    <t xml:space="preserve">2,0M € &lt; PBL sen IVE</t>
  </si>
  <si>
    <t xml:space="preserve">a empregar</t>
  </si>
  <si>
    <t xml:space="preserve">1.MOVEMENTO DE TERRAS</t>
  </si>
  <si>
    <t xml:space="preserve">Análise granulométrica por tamizado (solos UNE 103101 ou equivalente) (aridos UNE EN 933-1 ou equivalente)</t>
  </si>
  <si>
    <t xml:space="preserve">Análise granulométrica de pedraplen UNE 103101 ou equivalente</t>
  </si>
  <si>
    <t xml:space="preserve">Límites de Atterberg. Límite líquido e limite plástico UNE 103103, 103104  ou equivalente</t>
  </si>
  <si>
    <t xml:space="preserve">Determinación do contido de materia orgánica oxidable polo método do permanganato potásico UNE EN 103204  ou equivalente</t>
  </si>
  <si>
    <t xml:space="preserve">Contido de sales solubles en solos UNE 103205 ou equivalente</t>
  </si>
  <si>
    <t xml:space="preserve">MT006</t>
  </si>
  <si>
    <t xml:space="preserve">Determinación cuantitativa do contido de sulfatos solubles UNE EN 103201 ou equivalente</t>
  </si>
  <si>
    <t xml:space="preserve">Ensaio de compactación Proctor Modificado UNE 103501 ou equivalente</t>
  </si>
  <si>
    <t xml:space="preserve">MT008</t>
  </si>
  <si>
    <t xml:space="preserve">Ensaio de compactación Proctor Normal UNE 103500 ou equivalente</t>
  </si>
  <si>
    <t xml:space="preserve">Contido de xeso UNE 103206 ou equivalente</t>
  </si>
  <si>
    <t xml:space="preserve">Índice CBR en Laboratorio, sen incluír Proctor UNE 103502 ou equivalente</t>
  </si>
  <si>
    <t xml:space="preserve">MT011</t>
  </si>
  <si>
    <t xml:space="preserve">Índice CBR en Laboratorio, con compactación Proctor Normal ou Modificado UNE 103502 ou equivalente</t>
  </si>
  <si>
    <t xml:space="preserve">Ensaio de hinchamento libre no edómetro UNE 103601 ou equivalente</t>
  </si>
  <si>
    <t xml:space="preserve">Ensaio de colapso en solo UNE 103406 ou equivalente</t>
  </si>
  <si>
    <t xml:space="preserve">Estabilidade de áridos e fragmentos de roca fronte a acción de inmersión en auga UNE 146510 ou equivalente</t>
  </si>
  <si>
    <t xml:space="preserve">Estabilidade de áridos e fragmentos de roca fronte a acción de inmersión en auga en escolleras UNE 146510 ou equivalente</t>
  </si>
  <si>
    <t xml:space="preserve">Equivalente de Area UNE EN 933-8 (Anexo A)  ou equivalente</t>
  </si>
  <si>
    <t xml:space="preserve">Resistencia á fragmentación Ensaio "Os Ánxeles" UNE EN 1097-2  ou equivalente</t>
  </si>
  <si>
    <t xml:space="preserve">Resistencia á fragmentación Ensaio "Os Ánxeles" en escollera UNE EN 1097-2  ou equivalente</t>
  </si>
  <si>
    <t xml:space="preserve">Densidade aparente e absorción de auga UNE EN 1936  ou equivalente</t>
  </si>
  <si>
    <t xml:space="preserve">Determinación da densidade "in situ", incluíndo humidade por medio de isótopos radiactivos (mínimo  10 determinacións) UNE 103900 ou equivalente</t>
  </si>
  <si>
    <t xml:space="preserve">MT021</t>
  </si>
  <si>
    <t xml:space="preserve">Determinación “in situ” da densidade dun solo polo método da area e humidade en estufa</t>
  </si>
  <si>
    <t xml:space="preserve">Ensaio de pegada en terreos para control de compactación UNE 103407 ou equivalente</t>
  </si>
  <si>
    <t xml:space="preserve">Ensaio de Carga con Placa de 30cm UNE 103808 ou equivalente. Non inclúe preparación do dispositivo a reacción</t>
  </si>
  <si>
    <t xml:space="preserve">MT024</t>
  </si>
  <si>
    <t xml:space="preserve">Ensaio de Carga con Placa de 60cm UNE 103808 ou equivalente. Non inclúe preparación do dispositivo a reacción</t>
  </si>
  <si>
    <t xml:space="preserve">MT025</t>
  </si>
  <si>
    <t xml:space="preserve">Unidade de movilización e desprazamento de equipo de carga dinámica e informe</t>
  </si>
  <si>
    <t xml:space="preserve">MT026</t>
  </si>
  <si>
    <t xml:space="preserve">Ensaio de carga dinámica (&lt;10 determinacións)</t>
  </si>
  <si>
    <t xml:space="preserve">MT027</t>
  </si>
  <si>
    <t xml:space="preserve">Ensaio de carga dinámica (≥10 determinacións)</t>
  </si>
  <si>
    <t xml:space="preserve">Resistencia á rotura a compresión incluíndo extracción de testemuña</t>
  </si>
  <si>
    <t xml:space="preserve">Límites de Atterberg. Límite líquido e limite plástico UNE 103103, 103104 ou equivalente</t>
  </si>
  <si>
    <t xml:space="preserve">Determinación do contido de materia orgánica oxidable polo método do permanganato potásico UNE EN 103204 ou equivalente</t>
  </si>
  <si>
    <t xml:space="preserve">F006</t>
  </si>
  <si>
    <t xml:space="preserve">F008</t>
  </si>
  <si>
    <t xml:space="preserve">Resistencia á fragmentación Ensaio "Os Ánxeles" UNE EN 1097-2 ou equivalente</t>
  </si>
  <si>
    <t xml:space="preserve">Equivalente de Area UNE EN 933-8 (Anexo A) ou equivalente</t>
  </si>
  <si>
    <t xml:space="preserve">Índice de laxas do árido groso UNE EN 933-3 ou equivalente</t>
  </si>
  <si>
    <t xml:space="preserve">Porcentaxe de caras de fractura do árido groso UNE EN 933-5 ou equivalente</t>
  </si>
  <si>
    <t xml:space="preserve">Humidade natural UNE EN 1097-5 ou equivalente</t>
  </si>
  <si>
    <t xml:space="preserve">Contido ponderal en xofre total UNE EN 1744-1 ou equivalente</t>
  </si>
  <si>
    <t xml:space="preserve">Contido de finos do árido groso UNE-EN-933-1 ou equivalente</t>
  </si>
  <si>
    <t xml:space="preserve">Contido ponderal en xofre total (S) e en sulfatos solubles (SO3) UNE EN 1744-1 ou equivalente</t>
  </si>
  <si>
    <t xml:space="preserve">Determinación de compostos orgánicos UNE EN 1744-1 ou equivalente</t>
  </si>
  <si>
    <t xml:space="preserve">Prazo de traballabilidade UNE 41240 ou equivalente</t>
  </si>
  <si>
    <t xml:space="preserve">Resistencia a compresión simple a 7 días (fabricación de 3 probetas) UNE EN 13286-41 ou equivalente, UNE-EN 13286-51 ou equivalente</t>
  </si>
  <si>
    <t xml:space="preserve">F022</t>
  </si>
  <si>
    <t xml:space="preserve">F023</t>
  </si>
  <si>
    <t xml:space="preserve">F024</t>
  </si>
  <si>
    <t xml:space="preserve">F025</t>
  </si>
  <si>
    <t xml:space="preserve">F026</t>
  </si>
  <si>
    <t xml:space="preserve">F027</t>
  </si>
  <si>
    <t xml:space="preserve">Extracción probeta-testemuña e determinación de densidade e espesor. Mínimo facturable 3 testemuñas</t>
  </si>
  <si>
    <t xml:space="preserve">Unidade de movilización e desprazamento de perfilómetro láser, e informe de cálculo do índice de regularidade internacional IRI en pavimentos de estradas, NLT-330 ou equivalente
</t>
  </si>
  <si>
    <t xml:space="preserve">km</t>
  </si>
  <si>
    <t xml:space="preserve">Km. de medida con perfilómetro láser para cálculo de IRI</t>
  </si>
  <si>
    <t xml:space="preserve">Xornada de medida de deflexións mediante viga Benkelman (sen incluír elemento de reacción) NLT 356 ou equivalente. Entre 50-75 medidas por xornada.</t>
  </si>
  <si>
    <t xml:space="preserve">Unidade de movilización e desprazamento de equipo para auscultación de deflexións mediante deflectómetro de impacto, incluído informe. Norma 6.1 IC
</t>
  </si>
  <si>
    <t xml:space="preserve">Km. de medida con deflectómetro de impacto cada 20 m
</t>
  </si>
  <si>
    <t xml:space="preserve">F034</t>
  </si>
  <si>
    <t xml:space="preserve">Km. de medida con deflectómetro de impacto cada 50 m
</t>
  </si>
  <si>
    <t xml:space="preserve">F035</t>
  </si>
  <si>
    <t xml:space="preserve">Km. de medida con deflectómetro de impacto cada 100 m
</t>
  </si>
  <si>
    <t xml:space="preserve">2.2.1 Áridos e po mineral</t>
  </si>
  <si>
    <t xml:space="preserve">F039</t>
  </si>
  <si>
    <t xml:space="preserve">Coeficiente de Pulido Acelerado C.P.A. do árido groso UNE EN 1097-8 ou equivalente</t>
  </si>
  <si>
    <t xml:space="preserve">Densidade relativa e absorción do árido groso UNE EN 1097-6 ou equivalente</t>
  </si>
  <si>
    <t xml:space="preserve">F043</t>
  </si>
  <si>
    <t xml:space="preserve">Limpeza superficial. Contido de impurezas do árido groso UNE EN 146130 ou equivalente; Anexo C</t>
  </si>
  <si>
    <t xml:space="preserve">F045</t>
  </si>
  <si>
    <t xml:space="preserve">Densidade relativa e absorción do árido fino UNE EN 1097-6 ou equivalente</t>
  </si>
  <si>
    <t xml:space="preserve">Equivalente de Area UNE EN 933-8 ou equivalente (Anexo A)</t>
  </si>
  <si>
    <t xml:space="preserve">Densidade aparente do po mineral UNE EN 1097-3 ou equivalente Anexo A</t>
  </si>
  <si>
    <t xml:space="preserve">Análise granulométrica do po mineral UNE EN 933-10 ou equivalente</t>
  </si>
  <si>
    <t xml:space="preserve">F050</t>
  </si>
  <si>
    <t xml:space="preserve">Coeficiente de desgaste Micro-Deval UNE EN 1097-1 ou equivalente</t>
  </si>
  <si>
    <t xml:space="preserve">2.2.2 Betumes e emulsións</t>
  </si>
  <si>
    <t xml:space="preserve">Penetración de materiais bituminosos UNE EN 1426 ou equivalente</t>
  </si>
  <si>
    <t xml:space="preserve">Punto de rebrandecemento anel e bola UNE EN 1427 ou equivalente</t>
  </si>
  <si>
    <t xml:space="preserve">Índice de penetración UNE EN 12591 (Anejo A), UNE EN 13924 ou equivalente</t>
  </si>
  <si>
    <t xml:space="preserve">Recuperación elástica dun betume modificado UNE EN 13398 ou equivalente</t>
  </si>
  <si>
    <t xml:space="preserve">F056</t>
  </si>
  <si>
    <t xml:space="preserve">Viscosidade Saybolt NLT 133 ou equivalente e NLT 197 ou equivalente</t>
  </si>
  <si>
    <t xml:space="preserve">Carga de partículas das emulsións bituminosas UNE EN 1430 ou equivalente</t>
  </si>
  <si>
    <t xml:space="preserve">Índice de rotura UNE EN 13075-1 ou equivalente</t>
  </si>
  <si>
    <t xml:space="preserve">Contido en auga en emulsións bituminosas UNE EN 1428 ou equivalente</t>
  </si>
  <si>
    <t xml:space="preserve">Tamizado das emulsións bituminosas UNE EN 1429 ou equivalente</t>
  </si>
  <si>
    <t xml:space="preserve">Toma de mostra sobre 3 bandexas e determinación da dotación media de ligante residual. </t>
  </si>
  <si>
    <t xml:space="preserve">2.2.3 Mesturas bituminosas e microaglomerados</t>
  </si>
  <si>
    <t xml:space="preserve">Fabricación de 3 probetas e determinación da densidade máxima, da densidade aparente e do contido de ocos UNE EN 12697-5, 6, 8 ,30 y 32 ou equivalente</t>
  </si>
  <si>
    <t xml:space="preserve">F064</t>
  </si>
  <si>
    <t xml:space="preserve">Ensaio cántabro seco completo. Fabricación de 3 probetas, determinación de densidade, análise de ocos, perdas por desgaste, contido de ligante e análise granulométrica dos áridos extraídos. UNE EN 12697-1,2,5, 6, 8,17,30 e 32 ou equivalente</t>
  </si>
  <si>
    <t xml:space="preserve">F065</t>
  </si>
  <si>
    <t xml:space="preserve">Ensaio Marshall completo, incluíndo: fabricación de 3 probetas, determinación da densidade, análise de ocos, perdas por desgaste, contido de ligante e análise granulométrico dos áridos extraídos. NLT-352, 164, 165, 168 e 352 ou equivalente</t>
  </si>
  <si>
    <t xml:space="preserve">Determinación do contido de ligante da mestura UNE EN 12697-1 ou equivalente</t>
  </si>
  <si>
    <t xml:space="preserve">Determinación do contido de ligante residual UNE EN 12274-2 ou equivalente</t>
  </si>
  <si>
    <t xml:space="preserve">Granulometría dos áridos extraídos UNE EN 12697-2 ou equivalente</t>
  </si>
  <si>
    <t xml:space="preserve">Resistencia conservada a tracción indirecta tras inmersión UNE EN 12697-12 ou equivalente</t>
  </si>
  <si>
    <t xml:space="preserve">Resistencia á deformación plástica mediante a pista de ensaio de laboratorio UNE EN 12697-22 ou equivalente</t>
  </si>
  <si>
    <t xml:space="preserve">F071</t>
  </si>
  <si>
    <t xml:space="preserve">Ensaio de escorremento de ligante. UNE EN 12697-18 ou equivalente</t>
  </si>
  <si>
    <t xml:space="preserve">F072</t>
  </si>
  <si>
    <t xml:space="preserve">Perda de partículas. UNE EN 12697-17 ou equivalente</t>
  </si>
  <si>
    <t xml:space="preserve">Consistencia UNE EN 12274-3 ou equivalente</t>
  </si>
  <si>
    <t xml:space="preserve">Desgaste ou perda á abrasión por vía húmida UNE EN 12274-5 ou equivalente</t>
  </si>
  <si>
    <t xml:space="preserve">Cohesión. Tempo para acadar un par de torsión de 20 kgf ·cm, UNE EN 12274-4 ou equivalente</t>
  </si>
  <si>
    <t xml:space="preserve">Extracción probeta-testemuña en mestura bituminosa con diámetro 100 mm e determinación da densidade e espesor UNE-EN 12697-6 ou equivalente. Mínimo facturable 3 testemuñas</t>
  </si>
  <si>
    <t xml:space="preserve">Avaliación da adherencia entre capas de firme mediante ensaios de corte NLT-382 ou equivalente</t>
  </si>
  <si>
    <t xml:space="preserve">Macrotextura superficial mediante círculo de area en capa de rodadura UNE EN 13036-1 ou equivalente </t>
  </si>
  <si>
    <t xml:space="preserve">Xornada de determinación “in situ” da resistencia ao deslizamento con péndulo TRRL sobre pavimento acabado e en condicións de uso, incluída a redacción de informe. UNE EN 13036-4 ou equivalente</t>
  </si>
  <si>
    <t xml:space="preserve">F080</t>
  </si>
  <si>
    <t xml:space="preserve">F081</t>
  </si>
  <si>
    <t xml:space="preserve">Km. de medida con perfilómetro láser para cálculo de IRI
</t>
  </si>
  <si>
    <t xml:space="preserve">Unidade de movilización e desprazamento de equipo para determinación do Coeficiente de Rozamento Transversal  (CRT) en capa de rodadura UNE 41201 IN ou equivalente</t>
  </si>
  <si>
    <t xml:space="preserve">Km de carril determinando o Coeficiente de Rozamento Transversal (CRT) en capa de rodadura UNE 41201 IN ou equivalente</t>
  </si>
  <si>
    <t xml:space="preserve">Permeabilidade in situ de pavimentos drenantes con permeámetro LCS. Mínimo facturable 10 determinacións</t>
  </si>
  <si>
    <t xml:space="preserve">2.3.1 Formigón</t>
  </si>
  <si>
    <t xml:space="preserve">F088</t>
  </si>
  <si>
    <t xml:space="preserve">Determinación do contido de aire ocluído UNE 83 315 ou equivalente, UNE EN 12350-6 ou equivalente</t>
  </si>
  <si>
    <t xml:space="preserve">Toma de mostra de formigón fresco, medida de cono, fabricación de 1 serie de 3 probetas prismáticas e ensaio a flexotracción, unha  a 7 e dúas a 28 días, (incluíndo desprazamentos) UNE EN 12390-2 ou equivalente, UNE EN 12390-5 ou equivalente</t>
  </si>
  <si>
    <t xml:space="preserve">F090</t>
  </si>
  <si>
    <t xml:space="preserve">Macrotextura superficial mediante círculo de area en capa de rodadura UNE EN 13036-1 ou equivalente. </t>
  </si>
  <si>
    <t xml:space="preserve">Extracción de testemuña de formigón  e determinación do espesor e homoxeneidade. Mínimo facturable 3 testemuñas</t>
  </si>
  <si>
    <t xml:space="preserve">Xornada de determinación “in situ” da resistencia ao deslizamento con péndulo TRRL sobre pavimento acabado e en condicións de uso, incluída a redacción de informe. UNE 41901EX:2017 ou equivalente</t>
  </si>
  <si>
    <t xml:space="preserve">Mostraxe sobre bandexas taradas e determinación global da dotación de pintura + microesferas aplicadas por metro cadrado (15 pares de bandexas) UNE 135274 ou equivalente</t>
  </si>
  <si>
    <t xml:space="preserve">Movilización e desprazamento de equipo de alto rendemento (ECODYN) para a determinación da retrorreflexión. UNE EN 1436 ou equivalente (Por xornada)</t>
  </si>
  <si>
    <t xml:space="preserve">Km. de medida de retrorreflexión con equipo de alto rendemento (ECODYN)</t>
  </si>
  <si>
    <t xml:space="preserve">Xornada para determinacións puntuais do coeficiente de luminancia (β ou Qd) e retrorreflexión RL en marcas viarias horizontais. UNE EN 1436 ou equivalente. Non inclúe sinalización. </t>
  </si>
  <si>
    <t xml:space="preserve">S005</t>
  </si>
  <si>
    <t xml:space="preserve">3.2 Sinalización vertical</t>
  </si>
  <si>
    <t xml:space="preserve">S008</t>
  </si>
  <si>
    <t xml:space="preserve">Determinación do espesor de galvanizado por método electromagnético. UNE EN ISO 1461 ou equivalente</t>
  </si>
  <si>
    <t xml:space="preserve">S009</t>
  </si>
  <si>
    <t xml:space="preserve">Xornada de auscultación da reflectancia in situ. UNE 135352 ou equivalente</t>
  </si>
  <si>
    <t xml:space="preserve">4. ESTRUTURAS </t>
  </si>
  <si>
    <t xml:space="preserve">4.1 Formigón</t>
  </si>
  <si>
    <t xml:space="preserve">Toma de mostra de formigón fresco, medida de Cono, fabricación de 5 probetas cilíndricas de 15x30cm, curado, refrentado e rotura a compresión a 7, 28 e 90 días UNE EN 12390-2, 12390-3, 12350-2 ou equivalente</t>
  </si>
  <si>
    <t xml:space="preserve">E002</t>
  </si>
  <si>
    <t xml:space="preserve">Medida da consistencia do formigón fresco, método do cono de Abrams. UNE 83313 ou equivalente, UNE EN 12350-2 ou equivalente</t>
  </si>
  <si>
    <t xml:space="preserve">E003</t>
  </si>
  <si>
    <t xml:space="preserve">Toma de mostra de formigón fresco, medida de Cono, fabricación de 5 probetas cilíndricas de 15x30cm, curado, refrentado e rotura a tracción indirecta a 7, 28 e 90 días UNE EN 12390-2, 12390-3, 12350-2 ou equivalente</t>
  </si>
  <si>
    <t xml:space="preserve">Toma de mostras do formigón proxectado fresco, incluíndo fabricación de artesa de 50x50x15cm segundo UNE ou equivalente, curado en condicións especificadas, extracción de 12 testemuñas de D=6cm x15cm de altura para rotura 3 a 3días, 3 a 7 días, 3 a 28días e 3 a 90 días. UNE 83 602, 83 605, UNE 14488-5 ou equivalente</t>
  </si>
  <si>
    <t xml:space="preserve">Determinación do contido de fibras de aceiro nunha amasada de formigón fresco ou endurecido UNE EN 14488-7 ou equivalente</t>
  </si>
  <si>
    <t xml:space="preserve">E006</t>
  </si>
  <si>
    <t xml:space="preserve">Extracción de testemuñas de formigón de 75 mm de diámetro mediante sonda rotativa, tallado, refrentado e ensaio a compresión  UNE 83302, UNE EN 12504-1 ou equivalente (mínimo facturable por desprazamento 3 testemuñas)</t>
  </si>
  <si>
    <t xml:space="preserve">E007</t>
  </si>
  <si>
    <t xml:space="preserve">Extracción de testemuñas de formigón de 100 mm de diámetro mediante sonda rotativa, tallado, refrentado e ensaio a compresión UNE 83302, UNE EN 12504-1 ou equivalente (mínimo facturable por desprazamento 3 testemuñas)</t>
  </si>
  <si>
    <t xml:space="preserve">E008</t>
  </si>
  <si>
    <t xml:space="preserve">Extracción de testemuñas de formigón de 150 mm de diámetro mediante sonda rotativa, tallado, refrentado e ensaio a compresión UNE 83302, UNE EN 12504-1 ou equivalente (mínimo facturable por desprazamento 3 testemuñas)</t>
  </si>
  <si>
    <t xml:space="preserve">E009</t>
  </si>
  <si>
    <t xml:space="preserve">Recheo de taladros con morteiro especial </t>
  </si>
  <si>
    <t xml:space="preserve">E010</t>
  </si>
  <si>
    <t xml:space="preserve">Determinación da profundidade de carbonatación UNE 112011 ou equivalente</t>
  </si>
  <si>
    <t xml:space="preserve">E011</t>
  </si>
  <si>
    <t xml:space="preserve">Determinación de cloruros en formigóns endurecidos UNE 112010 ou equivalente</t>
  </si>
  <si>
    <t xml:space="preserve">E012</t>
  </si>
  <si>
    <t xml:space="preserve">Toma de mostra, fabricación, conservación e rotura a flexotracción e a compresión de 3 probetas prismáticas de morteiro de cemento. UNE EN 1015-11 ou equivalente</t>
  </si>
  <si>
    <t xml:space="preserve">4.2 Aceiro</t>
  </si>
  <si>
    <t xml:space="preserve">Ensaio completo dunha mostra de aceiro para armaduras pasivas: sección media equivalente, características xeométricas, dobrado/desdobrado e tracción. UNE EN 36068 ou equivalente, UNE EN ISO 15630-1 ou equivalente</t>
  </si>
  <si>
    <t xml:space="preserve">Determinación de sección equivalente e características xeométricas dunha mostra de cordón de aceiro para armaduras de pretensado. UNE EN ISO 15630-3 ou equivalente</t>
  </si>
  <si>
    <t xml:space="preserve">Ensaio a tracción dunha mostra de cordón de aceiro para armaduras de pretensado. UNE EN ISO 15630-3 ou equivalente</t>
  </si>
  <si>
    <t xml:space="preserve">E017</t>
  </si>
  <si>
    <t xml:space="preserve">Ensaio a tracción dunha probeta de aceiro UNE 36 068/96 1ª Mod. EN 10 002-1/02 ou ensaios equivalentes; UNE 36 065/00 ou UNE EN ISO 15630-1 ou ensaios equivalentes e ISO 6892 ou equivalente</t>
  </si>
  <si>
    <t xml:space="preserve">E018</t>
  </si>
  <si>
    <t xml:space="preserve">Ensaio de dobrado dunha probeta de aceiro UNE 36 068/94 ou equivalente; UNE 36 065/00 ou UNE EN ISO 15630-1 ou ensaios equivalentes e UNE EN 10080 ou equivalente</t>
  </si>
  <si>
    <t xml:space="preserve">E019</t>
  </si>
  <si>
    <t xml:space="preserve">Ensaio de dobrado/desdobrado dunha probeta de aceiro UNE 36 068/94 ou equivalente; UNE 36 065/00 ou UNE EN ISO 15630-1 ou ensaios equivalentes</t>
  </si>
  <si>
    <t xml:space="preserve">E020</t>
  </si>
  <si>
    <t xml:space="preserve">Determinación das características xeométricas dunha barra corrugada UNE 36068/94 ou equivalente, 36098-1M/96 ou equivalente; UNE 36 065/00 ou UNE EN ISO 15630-1 ou ensaios equivalentes.</t>
  </si>
  <si>
    <t xml:space="preserve">E021</t>
  </si>
  <si>
    <t xml:space="preserve">Ensaio de dobrado alternativo dunha mostra de cordón de aceiro para armaduras de pretensado. UNE EN ISO 15630-3 ou equivalente</t>
  </si>
  <si>
    <t xml:space="preserve">E022</t>
  </si>
  <si>
    <t xml:space="preserve">Ensaio de despegue das barras de no en mallas electrosoldadas UNE EN 36092 e 36462 ou equivalentes ou UNE EN ISO 15630-2 ou equivalente</t>
  </si>
  <si>
    <t xml:space="preserve">E023</t>
  </si>
  <si>
    <t xml:space="preserve">Determinación das características xeométricas dunha malla electrosoldada UNE 36092 ou UNE EN ISO 15630-2 ou ensaio equivalente</t>
  </si>
  <si>
    <t xml:space="preserve">E024</t>
  </si>
  <si>
    <t xml:space="preserve">Ensaio de tracción dunha probeta procedente de malla electrosoldada UNE 36068 e 36065 ou equivalentes, EN 10002-1 ou UNE EN ISO 15630-2 ou equivalentes e ISO 6892 ou ensaios equivalentes</t>
  </si>
  <si>
    <t xml:space="preserve">4.3 Pilotes</t>
  </si>
  <si>
    <t xml:space="preserve">Xornada de auscultación por crosshole, instrumentado con 3 tubos interiores (3 diagrafías), con desprazamento a obra de equipos e redacción de informe. Ata 5 pilotes por xornada para pilotes de L&lt;30m e 3 pilotes por xornada para pilotes de 30m &lt; L &lt; 50m. AFNOR NF P 94-160 ou ensaios equivalentes</t>
  </si>
  <si>
    <t xml:space="preserve">4.4 Bulóns</t>
  </si>
  <si>
    <t xml:space="preserve">Ensaio de arrincamento de bulón de ancoraxe pasivo, mínimo 10 ensaios por desprazamento, sen engadir medios auxiliares, por bulón.</t>
  </si>
  <si>
    <t xml:space="preserve">E029</t>
  </si>
  <si>
    <t xml:space="preserve">Toma de mostra, fabricación, conservación e rotura a compresión a 3 idades en “lechadas” de cemento. UNE EN 445,447 ou equivalentes</t>
  </si>
  <si>
    <t xml:space="preserve">E030</t>
  </si>
  <si>
    <t xml:space="preserve">Control estadístico da lonxitude libre sen engadir ensaio de arrincamento</t>
  </si>
  <si>
    <t xml:space="preserve">E031</t>
  </si>
  <si>
    <t xml:space="preserve">5. REDES DE SERVIZOS</t>
  </si>
  <si>
    <t xml:space="preserve">Supervisión de proba de presión e estanqueidade nun tramo da rede e elaboración de informe</t>
  </si>
  <si>
    <t xml:space="preserve"> Inspección de canalización nova mediante videocámara por circuito pechado de televisión e inclinómetro para determinación de pendentes instantáneas, acompañado con informe que inclúe: vídeo da inspección en formato dixital e actas de inspección (mínimo facturable 400 ml)</t>
  </si>
  <si>
    <t xml:space="preserve">Verificación de coincidencias de distintos códigos correspondentes ao mesmo ensaio</t>
  </si>
  <si>
    <t xml:space="preserve">CÓDIGOS</t>
  </si>
  <si>
    <t xml:space="preserve">DATOS CÓDIGO 1</t>
  </si>
  <si>
    <t xml:space="preserve">DATOS CÓDIGO 2</t>
  </si>
  <si>
    <t xml:space="preserve">COMPROB. COINCIDENCIA</t>
  </si>
  <si>
    <t xml:space="preserve">Cód 1</t>
  </si>
  <si>
    <t xml:space="preserve">Cód 2</t>
  </si>
  <si>
    <t xml:space="preserve">descrición cod. 1</t>
  </si>
  <si>
    <t xml:space="preserve">p1T1</t>
  </si>
  <si>
    <t xml:space="preserve">p1T2</t>
  </si>
  <si>
    <t xml:space="preserve">p1T3</t>
  </si>
  <si>
    <t xml:space="preserve">prezo1</t>
  </si>
  <si>
    <t xml:space="preserve">descrición cod. 2</t>
  </si>
  <si>
    <t xml:space="preserve">p2T1</t>
  </si>
  <si>
    <t xml:space="preserve">p2T2</t>
  </si>
  <si>
    <t xml:space="preserve">p2T3</t>
  </si>
  <si>
    <t xml:space="preserve">coincide descrición</t>
  </si>
  <si>
    <t xml:space="preserve"> distancia entre prezos</t>
  </si>
  <si>
    <t xml:space="preserve">coinciden prezos</t>
  </si>
</sst>
</file>

<file path=xl/styles.xml><?xml version="1.0" encoding="utf-8"?>
<styleSheet xmlns="http://schemas.openxmlformats.org/spreadsheetml/2006/main">
  <numFmts count="14">
    <numFmt numFmtId="164" formatCode="General"/>
    <numFmt numFmtId="165" formatCode="@"/>
    <numFmt numFmtId="166" formatCode="0&quot;     &quot;;\-0&quot;     &quot;;&quot; -     &quot;;@\ "/>
    <numFmt numFmtId="167" formatCode="#,##0.00\ [$€-C0A];[RED]\-#,##0.00\ [$€-C0A]"/>
    <numFmt numFmtId="168" formatCode="General"/>
    <numFmt numFmtId="169" formatCode="&quot;VERDADEIRO&quot;;&quot;VERDADEIRO&quot;;&quot;FALSO&quot;"/>
    <numFmt numFmtId="170" formatCode="0\ %"/>
    <numFmt numFmtId="171" formatCode="0&quot; -&quot;"/>
    <numFmt numFmtId="172" formatCode="#,##0"/>
    <numFmt numFmtId="173" formatCode="#,##0.00&quot; €&quot;"/>
    <numFmt numFmtId="174" formatCode="0"/>
    <numFmt numFmtId="175" formatCode="#,##0.00"/>
    <numFmt numFmtId="176" formatCode="#,##0.0"/>
    <numFmt numFmtId="177" formatCode="#,##0.00\ [$€-C0A];\-#,##0.00\ [$€-C0A]"/>
  </numFmts>
  <fonts count="69">
    <font>
      <sz val="11"/>
      <color rgb="FF000000"/>
      <name val="Calibri"/>
      <family val="0"/>
      <charset val="1"/>
    </font>
    <font>
      <sz val="10"/>
      <name val="Arial"/>
      <family val="0"/>
    </font>
    <font>
      <sz val="10"/>
      <name val="Arial"/>
      <family val="0"/>
    </font>
    <font>
      <sz val="10"/>
      <name val="Arial"/>
      <family val="0"/>
    </font>
    <font>
      <b val="true"/>
      <sz val="14"/>
      <color rgb="FFFFFFFF"/>
      <name val="Calibri"/>
      <family val="0"/>
      <charset val="1"/>
    </font>
    <font>
      <b val="true"/>
      <sz val="10"/>
      <color rgb="FF023F62"/>
      <name val="Calibri"/>
      <family val="0"/>
      <charset val="1"/>
    </font>
    <font>
      <b val="true"/>
      <sz val="10"/>
      <color rgb="FF000000"/>
      <name val="Calibri"/>
      <family val="0"/>
      <charset val="1"/>
    </font>
    <font>
      <b val="true"/>
      <sz val="12"/>
      <color rgb="FF000000"/>
      <name val="Calibri"/>
      <family val="0"/>
      <charset val="1"/>
    </font>
    <font>
      <sz val="10"/>
      <color rgb="FF000000"/>
      <name val="Times New Roman"/>
      <family val="1"/>
      <charset val="1"/>
    </font>
    <font>
      <b val="true"/>
      <sz val="11"/>
      <color rgb="FF000000"/>
      <name val="Calibri"/>
      <family val="0"/>
      <charset val="1"/>
    </font>
    <font>
      <b val="true"/>
      <sz val="11"/>
      <color rgb="FF000000"/>
      <name val="Arial"/>
      <family val="2"/>
      <charset val="1"/>
    </font>
    <font>
      <b val="true"/>
      <sz val="18"/>
      <color rgb="FF000000"/>
      <name val="Arial"/>
      <family val="2"/>
      <charset val="1"/>
    </font>
    <font>
      <sz val="12"/>
      <color rgb="FF000000"/>
      <name val="Arial"/>
      <family val="2"/>
      <charset val="1"/>
    </font>
    <font>
      <b val="true"/>
      <sz val="10"/>
      <color rgb="FF000000"/>
      <name val="Arial"/>
      <family val="2"/>
      <charset val="1"/>
    </font>
    <font>
      <sz val="10"/>
      <color rgb="FF000000"/>
      <name val="Arial"/>
      <family val="2"/>
      <charset val="1"/>
    </font>
    <font>
      <b val="true"/>
      <sz val="12"/>
      <color rgb="FFCE181E"/>
      <name val="Arial"/>
      <family val="2"/>
      <charset val="1"/>
    </font>
    <font>
      <b val="true"/>
      <sz val="10"/>
      <color rgb="FF000000"/>
      <name val="Arial"/>
      <family val="2"/>
    </font>
    <font>
      <sz val="10"/>
      <color rgb="FF000000"/>
      <name val="Arial"/>
      <family val="2"/>
    </font>
    <font>
      <i val="true"/>
      <sz val="10"/>
      <color rgb="FF000000"/>
      <name val="Arial"/>
      <family val="2"/>
    </font>
    <font>
      <i val="true"/>
      <sz val="10"/>
      <color rgb="FF000000"/>
      <name val="Arial"/>
      <family val="2"/>
      <charset val="1"/>
    </font>
    <font>
      <sz val="10"/>
      <color rgb="FF000000"/>
      <name val="Courier New"/>
      <family val="3"/>
    </font>
    <font>
      <b val="true"/>
      <sz val="9"/>
      <color rgb="FF000000"/>
      <name val="Arial"/>
      <family val="2"/>
      <charset val="1"/>
    </font>
    <font>
      <sz val="8"/>
      <color rgb="FF000000"/>
      <name val="Calibri"/>
      <family val="0"/>
      <charset val="1"/>
    </font>
    <font>
      <sz val="9"/>
      <color rgb="FF000000"/>
      <name val="Calibri"/>
      <family val="0"/>
      <charset val="1"/>
    </font>
    <font>
      <sz val="9"/>
      <color rgb="FF000000"/>
      <name val="Calibri"/>
      <family val="2"/>
      <charset val="1"/>
    </font>
    <font>
      <sz val="9"/>
      <color rgb="FFFF0000"/>
      <name val="Calibri"/>
      <family val="0"/>
      <charset val="1"/>
    </font>
    <font>
      <b val="true"/>
      <sz val="12"/>
      <name val="Calibri"/>
      <family val="2"/>
      <charset val="1"/>
    </font>
    <font>
      <b val="true"/>
      <sz val="12"/>
      <color rgb="FFFAFAFA"/>
      <name val="Calibri"/>
      <family val="2"/>
      <charset val="1"/>
    </font>
    <font>
      <b val="true"/>
      <sz val="9"/>
      <color rgb="FF000000"/>
      <name val="Calibri"/>
      <family val="0"/>
      <charset val="1"/>
    </font>
    <font>
      <sz val="9"/>
      <color rgb="FFFAFAFA"/>
      <name val="Calibri"/>
      <family val="0"/>
      <charset val="1"/>
    </font>
    <font>
      <sz val="9"/>
      <color rgb="FFFAFAFA"/>
      <name val="Calibri"/>
      <family val="2"/>
      <charset val="1"/>
    </font>
    <font>
      <b val="true"/>
      <sz val="16"/>
      <color rgb="FFFFFFFF"/>
      <name val="Cambria"/>
      <family val="1"/>
      <charset val="1"/>
    </font>
    <font>
      <sz val="8"/>
      <color rgb="FFFF6600"/>
      <name val="Calibri"/>
      <family val="0"/>
      <charset val="1"/>
    </font>
    <font>
      <b val="true"/>
      <sz val="12"/>
      <color rgb="FFFAFAFA"/>
      <name val="Calibri"/>
      <family val="0"/>
      <charset val="1"/>
    </font>
    <font>
      <b val="true"/>
      <sz val="12"/>
      <color rgb="FFFFFFFF"/>
      <name val="Calibri"/>
      <family val="0"/>
      <charset val="1"/>
    </font>
    <font>
      <b val="true"/>
      <sz val="14"/>
      <color rgb="FFCE181E"/>
      <name val="Calibri"/>
      <family val="0"/>
      <charset val="1"/>
    </font>
    <font>
      <b val="true"/>
      <sz val="8"/>
      <name val="Calibri"/>
      <family val="2"/>
      <charset val="1"/>
    </font>
    <font>
      <sz val="10"/>
      <name val="Calibri"/>
      <family val="2"/>
      <charset val="1"/>
    </font>
    <font>
      <b val="true"/>
      <sz val="8"/>
      <color rgb="FF000000"/>
      <name val="Calibri"/>
      <family val="0"/>
      <charset val="1"/>
    </font>
    <font>
      <b val="true"/>
      <sz val="8"/>
      <color rgb="FFFFFFFF"/>
      <name val="Calibri"/>
      <family val="0"/>
      <charset val="1"/>
    </font>
    <font>
      <b val="true"/>
      <sz val="8"/>
      <color rgb="FFFAFAFA"/>
      <name val="Calibri"/>
      <family val="0"/>
      <charset val="1"/>
    </font>
    <font>
      <sz val="8"/>
      <color rgb="FF000000"/>
      <name val="Calibri"/>
      <family val="2"/>
      <charset val="1"/>
    </font>
    <font>
      <sz val="14"/>
      <color rgb="FFFFFFFF"/>
      <name val="Calibri"/>
      <family val="2"/>
      <charset val="1"/>
    </font>
    <font>
      <sz val="12"/>
      <color rgb="FF000000"/>
      <name val="Calibri"/>
      <family val="2"/>
      <charset val="1"/>
    </font>
    <font>
      <sz val="10"/>
      <color rgb="FF000000"/>
      <name val="Calibri"/>
      <family val="0"/>
      <charset val="1"/>
    </font>
    <font>
      <sz val="10"/>
      <color rgb="FF000000"/>
      <name val="Calibri"/>
      <family val="2"/>
      <charset val="1"/>
    </font>
    <font>
      <sz val="10"/>
      <color rgb="FF023F62"/>
      <name val="Calibri"/>
      <family val="2"/>
      <charset val="1"/>
    </font>
    <font>
      <b val="true"/>
      <sz val="8"/>
      <color rgb="FF000000"/>
      <name val="Calibri"/>
      <family val="2"/>
      <charset val="1"/>
    </font>
    <font>
      <sz val="8"/>
      <color rgb="FFFF3333"/>
      <name val="Calibri"/>
      <family val="0"/>
      <charset val="1"/>
    </font>
    <font>
      <sz val="8"/>
      <color rgb="FFFF3333"/>
      <name val="Calibri"/>
      <family val="2"/>
      <charset val="1"/>
    </font>
    <font>
      <sz val="11"/>
      <color rgb="FF000000"/>
      <name val="Calibri"/>
      <family val="2"/>
      <charset val="1"/>
    </font>
    <font>
      <b val="true"/>
      <sz val="10"/>
      <color rgb="FFCE181E"/>
      <name val="Calibri"/>
      <family val="0"/>
      <charset val="1"/>
    </font>
    <font>
      <b val="true"/>
      <sz val="10"/>
      <color rgb="FFFF3333"/>
      <name val="Calibri"/>
      <family val="0"/>
      <charset val="1"/>
    </font>
    <font>
      <sz val="10"/>
      <color rgb="FFFF3333"/>
      <name val="Calibri"/>
      <family val="2"/>
      <charset val="1"/>
    </font>
    <font>
      <b val="true"/>
      <sz val="8"/>
      <color rgb="FFCE181E"/>
      <name val="Calibri"/>
      <family val="0"/>
      <charset val="1"/>
    </font>
    <font>
      <b val="true"/>
      <sz val="8"/>
      <color rgb="FFFF3333"/>
      <name val="Calibri"/>
      <family val="0"/>
      <charset val="1"/>
    </font>
    <font>
      <b val="true"/>
      <sz val="11"/>
      <color rgb="FFFFFFFF"/>
      <name val="Calibri"/>
      <family val="2"/>
      <charset val="1"/>
    </font>
    <font>
      <b val="true"/>
      <sz val="14"/>
      <color rgb="FF000000"/>
      <name val="Calibri"/>
      <family val="0"/>
      <charset val="1"/>
    </font>
    <font>
      <sz val="14"/>
      <color rgb="FF000000"/>
      <name val="Calibri"/>
      <family val="0"/>
      <charset val="1"/>
    </font>
    <font>
      <sz val="8"/>
      <name val="Calibri"/>
      <family val="2"/>
      <charset val="1"/>
    </font>
    <font>
      <sz val="8"/>
      <name val="Times New Roman"/>
      <family val="0"/>
      <charset val="1"/>
    </font>
    <font>
      <b val="true"/>
      <sz val="8"/>
      <color rgb="FFFFFFFF"/>
      <name val="Calibri"/>
      <family val="2"/>
      <charset val="1"/>
    </font>
    <font>
      <b val="true"/>
      <sz val="11"/>
      <color rgb="FFFFFFFF"/>
      <name val="Cambria"/>
      <family val="1"/>
      <charset val="1"/>
    </font>
    <font>
      <sz val="10"/>
      <color rgb="FFFFFFFF"/>
      <name val="Calibri"/>
      <family val="2"/>
      <charset val="1"/>
    </font>
    <font>
      <sz val="10"/>
      <color rgb="FF800000"/>
      <name val="Calibri"/>
      <family val="2"/>
      <charset val="1"/>
    </font>
    <font>
      <sz val="10"/>
      <color rgb="FFFFFFFF"/>
      <name val="Times New Roman"/>
      <family val="0"/>
      <charset val="1"/>
    </font>
    <font>
      <sz val="8"/>
      <name val="Calibri"/>
      <family val="0"/>
      <charset val="1"/>
    </font>
    <font>
      <sz val="10"/>
      <color rgb="FF800000"/>
      <name val="Times New Roman"/>
      <family val="0"/>
      <charset val="1"/>
    </font>
    <font>
      <b val="true"/>
      <sz val="10"/>
      <color rgb="FF800000"/>
      <name val="Times New Roman"/>
      <family val="0"/>
      <charset val="1"/>
    </font>
  </fonts>
  <fills count="15">
    <fill>
      <patternFill patternType="none"/>
    </fill>
    <fill>
      <patternFill patternType="gray125"/>
    </fill>
    <fill>
      <patternFill patternType="solid">
        <fgColor rgb="FF3399FF"/>
        <bgColor rgb="FF0066FF"/>
      </patternFill>
    </fill>
    <fill>
      <patternFill patternType="solid">
        <fgColor rgb="FF66CCFF"/>
        <bgColor rgb="FFAADCF7"/>
      </patternFill>
    </fill>
    <fill>
      <patternFill patternType="solid">
        <fgColor rgb="FFFFD74C"/>
        <bgColor rgb="FFFFF200"/>
      </patternFill>
    </fill>
    <fill>
      <patternFill patternType="solid">
        <fgColor rgb="FFAADCF7"/>
        <bgColor rgb="FFD9D9D9"/>
      </patternFill>
    </fill>
    <fill>
      <patternFill patternType="solid">
        <fgColor rgb="FFFFFF00"/>
        <bgColor rgb="FFFFF200"/>
      </patternFill>
    </fill>
    <fill>
      <patternFill patternType="solid">
        <fgColor rgb="FF0066FF"/>
        <bgColor rgb="FF008080"/>
      </patternFill>
    </fill>
    <fill>
      <patternFill patternType="solid">
        <fgColor rgb="FFFFFFFF"/>
        <bgColor rgb="FFFAFAFA"/>
      </patternFill>
    </fill>
    <fill>
      <patternFill patternType="solid">
        <fgColor rgb="FF404040"/>
        <bgColor rgb="FF333300"/>
      </patternFill>
    </fill>
    <fill>
      <patternFill patternType="solid">
        <fgColor rgb="FFFFF200"/>
        <bgColor rgb="FFFFFF00"/>
      </patternFill>
    </fill>
    <fill>
      <patternFill patternType="solid">
        <fgColor rgb="FFDBFFFF"/>
        <bgColor rgb="FFCCFFFF"/>
      </patternFill>
    </fill>
    <fill>
      <patternFill patternType="solid">
        <fgColor rgb="FFDC85E9"/>
        <bgColor rgb="FFFF99CC"/>
      </patternFill>
    </fill>
    <fill>
      <patternFill patternType="solid">
        <fgColor rgb="FFF2CBF8"/>
        <bgColor rgb="FFD9D9D9"/>
      </patternFill>
    </fill>
    <fill>
      <patternFill patternType="solid">
        <fgColor rgb="FF43C330"/>
        <bgColor rgb="FF99CC00"/>
      </patternFill>
    </fill>
  </fills>
  <borders count="42">
    <border diagonalUp="false" diagonalDown="false">
      <left/>
      <right/>
      <top/>
      <bottom/>
      <diagonal/>
    </border>
    <border diagonalUp="false" diagonalDown="false">
      <left/>
      <right style="medium">
        <color rgb="FF6666FF"/>
      </right>
      <top/>
      <bottom/>
      <diagonal/>
    </border>
    <border diagonalUp="false" diagonalDown="false">
      <left style="hair"/>
      <right style="hair"/>
      <top style="hair"/>
      <bottom/>
      <diagonal/>
    </border>
    <border diagonalUp="false" diagonalDown="false">
      <left style="hair"/>
      <right style="hair"/>
      <top/>
      <bottom/>
      <diagonal/>
    </border>
    <border diagonalUp="false" diagonalDown="false">
      <left style="hair"/>
      <right/>
      <top/>
      <bottom style="hair"/>
      <diagonal/>
    </border>
    <border diagonalUp="false" diagonalDown="false">
      <left/>
      <right style="hair"/>
      <top/>
      <bottom style="hair"/>
      <diagonal/>
    </border>
    <border diagonalUp="false" diagonalDown="false">
      <left style="hair"/>
      <right style="hair"/>
      <top/>
      <bottom style="hair"/>
      <diagonal/>
    </border>
    <border diagonalUp="false" diagonalDown="false">
      <left/>
      <right/>
      <top/>
      <bottom style="hair">
        <color rgb="FFD9D9D9"/>
      </bottom>
      <diagonal/>
    </border>
    <border diagonalUp="false" diagonalDown="false">
      <left style="hair">
        <color rgb="FFD9D9D9"/>
      </left>
      <right style="hair">
        <color rgb="FFD9D9D9"/>
      </right>
      <top style="hair">
        <color rgb="FFD9D9D9"/>
      </top>
      <bottom style="hair">
        <color rgb="FFD9D9D9"/>
      </bottom>
      <diagonal/>
    </border>
    <border diagonalUp="false" diagonalDown="false">
      <left style="hair">
        <color rgb="FFD9D9D9"/>
      </left>
      <right/>
      <top style="hair">
        <color rgb="FFD9D9D9"/>
      </top>
      <bottom style="hair">
        <color rgb="FFD9D9D9"/>
      </bottom>
      <diagonal/>
    </border>
    <border diagonalUp="false" diagonalDown="false">
      <left style="hair">
        <color rgb="FFD9D9D9"/>
      </left>
      <right style="hair">
        <color rgb="FFD9D9D9"/>
      </right>
      <top/>
      <bottom style="hair">
        <color rgb="FFD9D9D9"/>
      </bottom>
      <diagonal/>
    </border>
    <border diagonalUp="false" diagonalDown="false">
      <left style="medium">
        <color rgb="FF0066FF"/>
      </left>
      <right/>
      <top/>
      <bottom/>
      <diagonal/>
    </border>
    <border diagonalUp="false" diagonalDown="false">
      <left style="medium">
        <color rgb="FF6666FF"/>
      </left>
      <right/>
      <top/>
      <bottom/>
      <diagonal/>
    </border>
    <border diagonalUp="false" diagonalDown="false">
      <left style="medium">
        <color rgb="FF6666FF"/>
      </left>
      <right style="medium">
        <color rgb="FF6666FF"/>
      </right>
      <top/>
      <bottom/>
      <diagonal/>
    </border>
    <border diagonalUp="false" diagonalDown="false">
      <left style="thin">
        <color rgb="FFD9D9D9"/>
      </left>
      <right/>
      <top style="thin">
        <color rgb="FFD9D9D9"/>
      </top>
      <bottom style="thin">
        <color rgb="FFD9D9D9"/>
      </bottom>
      <diagonal/>
    </border>
    <border diagonalUp="false" diagonalDown="false">
      <left style="medium">
        <color rgb="FF0066FF"/>
      </left>
      <right style="hair">
        <color rgb="FFD9D9D9"/>
      </right>
      <top style="hair">
        <color rgb="FFD9D9D9"/>
      </top>
      <bottom style="hair">
        <color rgb="FFD9D9D9"/>
      </bottom>
      <diagonal/>
    </border>
    <border diagonalUp="false" diagonalDown="false">
      <left style="hair">
        <color rgb="FFD9D9D9"/>
      </left>
      <right style="medium">
        <color rgb="FF6666FF"/>
      </right>
      <top style="hair">
        <color rgb="FFD9D9D9"/>
      </top>
      <bottom style="hair">
        <color rgb="FFD9D9D9"/>
      </bottom>
      <diagonal/>
    </border>
    <border diagonalUp="false" diagonalDown="false">
      <left style="medium">
        <color rgb="FF6666FF"/>
      </left>
      <right style="hair">
        <color rgb="FFD9D9D9"/>
      </right>
      <top style="hair">
        <color rgb="FFD9D9D9"/>
      </top>
      <bottom style="hair">
        <color rgb="FFD9D9D9"/>
      </bottom>
      <diagonal/>
    </border>
    <border diagonalUp="false" diagonalDown="false">
      <left style="medium">
        <color rgb="FF6666FF"/>
      </left>
      <right style="medium">
        <color rgb="FF6666FF"/>
      </right>
      <top style="hair">
        <color rgb="FFD9D9D9"/>
      </top>
      <bottom style="hair">
        <color rgb="FFD9D9D9"/>
      </bottom>
      <diagonal/>
    </border>
    <border diagonalUp="false" diagonalDown="false">
      <left/>
      <right style="medium">
        <color rgb="FF0066FF"/>
      </right>
      <top/>
      <bottom/>
      <diagonal/>
    </border>
    <border diagonalUp="false" diagonalDown="false">
      <left style="medium">
        <color rgb="FF6666FF"/>
      </left>
      <right style="medium">
        <color rgb="FF0066FF"/>
      </right>
      <top/>
      <bottom/>
      <diagonal/>
    </border>
    <border diagonalUp="false" diagonalDown="false">
      <left style="medium">
        <color rgb="FF6666FF"/>
      </left>
      <right style="medium">
        <color rgb="FF0066FF"/>
      </right>
      <top style="hair">
        <color rgb="FFD9D9D9"/>
      </top>
      <bottom style="hair">
        <color rgb="FFD9D9D9"/>
      </bottom>
      <diagonal/>
    </border>
    <border diagonalUp="false" diagonalDown="false">
      <left/>
      <right style="medium">
        <color rgb="FF0066FF"/>
      </right>
      <top style="hair">
        <color rgb="FFD9D9D9"/>
      </top>
      <bottom style="hair">
        <color rgb="FFD9D9D9"/>
      </bottom>
      <diagonal/>
    </border>
    <border diagonalUp="false" diagonalDown="false">
      <left/>
      <right style="hair">
        <color rgb="FFD9D9D9"/>
      </right>
      <top style="hair">
        <color rgb="FFD9D9D9"/>
      </top>
      <bottom style="hair">
        <color rgb="FFD9D9D9"/>
      </bottom>
      <diagonal/>
    </border>
    <border diagonalUp="false" diagonalDown="false">
      <left style="thin">
        <color rgb="FFD9D9D9"/>
      </left>
      <right style="thin"/>
      <top style="thin">
        <color rgb="FFD9D9D9"/>
      </top>
      <bottom style="thin">
        <color rgb="FFD9D9D9"/>
      </bottom>
      <diagonal/>
    </border>
    <border diagonalUp="false" diagonalDown="false">
      <left/>
      <right/>
      <top style="thin">
        <color rgb="FFD9D9D9"/>
      </top>
      <bottom style="thin">
        <color rgb="FFD9D9D9"/>
      </bottom>
      <diagonal/>
    </border>
    <border diagonalUp="false" diagonalDown="false">
      <left/>
      <right style="thin"/>
      <top/>
      <bottom/>
      <diagonal/>
    </border>
    <border diagonalUp="false" diagonalDown="false">
      <left style="medium">
        <color rgb="FF0066FF"/>
      </left>
      <right/>
      <top style="thin">
        <color rgb="FFD9D9D9"/>
      </top>
      <bottom style="thin">
        <color rgb="FFD9D9D9"/>
      </bottom>
      <diagonal/>
    </border>
    <border diagonalUp="false" diagonalDown="false">
      <left style="hair">
        <color rgb="FFD9D9D9"/>
      </left>
      <right style="thin"/>
      <top style="hair">
        <color rgb="FFD9D9D9"/>
      </top>
      <bottom style="hair">
        <color rgb="FFD9D9D9"/>
      </bottom>
      <diagonal/>
    </border>
    <border diagonalUp="false" diagonalDown="false">
      <left style="hair">
        <color rgb="FFD9D9D9"/>
      </left>
      <right style="hair">
        <color rgb="FFD9D9D9"/>
      </right>
      <top style="hair">
        <color rgb="FFD9D9D9"/>
      </top>
      <bottom/>
      <diagonal/>
    </border>
    <border diagonalUp="false" diagonalDown="false">
      <left/>
      <right/>
      <top style="hair">
        <color rgb="FFD9D9D9"/>
      </top>
      <bottom style="hair">
        <color rgb="FFD9D9D9"/>
      </bottom>
      <diagonal/>
    </border>
    <border diagonalUp="false" diagonalDown="false">
      <left style="medium">
        <color rgb="FF6666FF"/>
      </left>
      <right style="medium">
        <color rgb="FF6666FF"/>
      </right>
      <top style="medium">
        <color rgb="FF6666FF"/>
      </top>
      <bottom style="medium">
        <color rgb="FF6666FF"/>
      </bottom>
      <diagonal/>
    </border>
    <border diagonalUp="false" diagonalDown="false">
      <left/>
      <right style="medium">
        <color rgb="FF6666FF"/>
      </right>
      <top/>
      <bottom style="medium">
        <color rgb="FF6666FF"/>
      </bottom>
      <diagonal/>
    </border>
    <border diagonalUp="false" diagonalDown="false">
      <left/>
      <right style="medium">
        <color rgb="FF0066FF"/>
      </right>
      <top/>
      <bottom style="medium">
        <color rgb="FF6666FF"/>
      </bottom>
      <diagonal/>
    </border>
    <border diagonalUp="false" diagonalDown="false">
      <left style="thin">
        <color rgb="FFFFFFFF"/>
      </left>
      <right/>
      <top style="thin">
        <color rgb="FFFFFFFF"/>
      </top>
      <bottom style="thin">
        <color rgb="FFFFFFFF"/>
      </bottom>
      <diagonal/>
    </border>
    <border diagonalUp="false" diagonalDown="false">
      <left/>
      <right style="thin">
        <color rgb="FFFFFFFF"/>
      </right>
      <top style="thin">
        <color rgb="FFFFFFFF"/>
      </top>
      <bottom style="thin">
        <color rgb="FFFFFFFF"/>
      </bottom>
      <diagonal/>
    </border>
    <border diagonalUp="false" diagonalDown="false">
      <left/>
      <right style="thin">
        <color rgb="FFFFFFFF"/>
      </right>
      <top/>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color rgb="FFFFFFFF"/>
      </left>
      <right style="thin">
        <color rgb="FFFFFFFF"/>
      </right>
      <top style="thin">
        <color rgb="FFFFFFFF"/>
      </top>
      <bottom/>
      <diagonal/>
    </border>
    <border diagonalUp="false" diagonalDown="false">
      <left style="thin">
        <color rgb="FFFFFFFF"/>
      </left>
      <right style="thin">
        <color rgb="FFFFFFFF"/>
      </right>
      <top/>
      <bottom style="thin">
        <color rgb="FFFFFFFF"/>
      </bottom>
      <diagonal/>
    </border>
    <border diagonalUp="false" diagonalDown="false">
      <left style="thin"/>
      <right style="thin"/>
      <top style="thin"/>
      <bottom style="thin"/>
      <diagonal/>
    </border>
    <border diagonalUp="false" diagonalDown="false">
      <left style="hair"/>
      <right style="hair"/>
      <top style="hair"/>
      <bottom style="hair"/>
      <diagonal/>
    </border>
  </borders>
  <cellStyleXfs count="2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4" fillId="2" borderId="1" applyFont="true" applyBorder="true" applyAlignment="true" applyProtection="false">
      <alignment horizontal="left" vertical="center" textRotation="0" wrapText="false" indent="0" shrinkToFit="false"/>
    </xf>
    <xf numFmtId="164" fontId="5" fillId="0" borderId="0" applyFont="true" applyBorder="true" applyAlignment="true" applyProtection="true">
      <alignment horizontal="left" vertical="center" textRotation="0" wrapText="false" indent="0" shrinkToFit="false"/>
      <protection locked="true" hidden="false"/>
    </xf>
    <xf numFmtId="164" fontId="6" fillId="3" borderId="1" applyFont="true" applyBorder="true" applyAlignment="true" applyProtection="true">
      <alignment horizontal="left" vertical="center" textRotation="0" wrapText="false" indent="0" shrinkToFit="false"/>
      <protection locked="true" hidden="false"/>
    </xf>
    <xf numFmtId="164" fontId="7" fillId="3" borderId="1" applyFont="true" applyBorder="true" applyAlignment="true" applyProtection="true">
      <alignment horizontal="left" vertical="center" textRotation="0" wrapText="false" indent="0" shrinkToFit="false"/>
      <protection locked="true" hidden="false"/>
    </xf>
    <xf numFmtId="164" fontId="8" fillId="0" borderId="0" applyFont="true" applyBorder="false" applyAlignment="true" applyProtection="false">
      <alignment horizontal="general" vertical="bottom" textRotation="0" wrapText="false" indent="0" shrinkToFit="false"/>
    </xf>
    <xf numFmtId="164" fontId="9" fillId="4" borderId="0" applyFont="true" applyBorder="false" applyAlignment="true" applyProtection="false">
      <alignment horizontal="general" vertical="bottom" textRotation="0" wrapText="false" indent="0" shrinkToFit="false"/>
    </xf>
    <xf numFmtId="166" fontId="8" fillId="0" borderId="0" applyFont="true" applyBorder="false" applyAlignment="true" applyProtection="false">
      <alignment horizontal="general" vertical="bottom" textRotation="0" wrapText="false" indent="0" shrinkToFit="false"/>
    </xf>
  </cellStyleXfs>
  <cellXfs count="353">
    <xf numFmtId="164" fontId="0" fillId="0" borderId="0" xfId="0" applyFont="false" applyBorder="false" applyAlignment="false" applyProtection="false">
      <alignment horizontal="general" vertical="bottom" textRotation="0" wrapText="false" indent="0" shrinkToFit="false"/>
      <protection locked="true" hidden="false"/>
    </xf>
    <xf numFmtId="164" fontId="8" fillId="0" borderId="0" xfId="24" applyFont="true" applyBorder="true" applyAlignment="true" applyProtection="true">
      <alignment horizontal="general" vertical="bottom" textRotation="0" wrapText="false" indent="0" shrinkToFit="false"/>
      <protection locked="true" hidden="false"/>
    </xf>
    <xf numFmtId="164" fontId="10" fillId="0" borderId="0" xfId="24" applyFont="true" applyBorder="true" applyAlignment="true" applyProtection="true">
      <alignment horizontal="center" vertical="center" textRotation="0" wrapText="false" indent="0" shrinkToFit="false"/>
      <protection locked="true" hidden="false"/>
    </xf>
    <xf numFmtId="164" fontId="10" fillId="0" borderId="0" xfId="24" applyFont="true" applyBorder="true" applyAlignment="true" applyProtection="true">
      <alignment horizontal="general" vertical="bottom" textRotation="0" wrapText="false" indent="0" shrinkToFit="false"/>
      <protection locked="true" hidden="false"/>
    </xf>
    <xf numFmtId="164" fontId="11" fillId="0" borderId="0" xfId="24" applyFont="true" applyBorder="true" applyAlignment="true" applyProtection="true">
      <alignment horizontal="center" vertical="center" textRotation="0" wrapText="false" indent="0" shrinkToFit="false"/>
      <protection locked="true" hidden="false"/>
    </xf>
    <xf numFmtId="164" fontId="12" fillId="0" borderId="0" xfId="24" applyFont="true" applyBorder="true" applyAlignment="true" applyProtection="true">
      <alignment horizontal="general" vertical="bottom" textRotation="0" wrapText="false" indent="0" shrinkToFit="false"/>
      <protection locked="true" hidden="false"/>
    </xf>
    <xf numFmtId="164" fontId="13" fillId="0" borderId="2" xfId="24" applyFont="true" applyBorder="true" applyAlignment="true" applyProtection="true">
      <alignment horizontal="left" vertical="top" textRotation="0" wrapText="true" indent="0" shrinkToFit="false"/>
      <protection locked="true" hidden="false"/>
    </xf>
    <xf numFmtId="164" fontId="14" fillId="0" borderId="3" xfId="24" applyFont="true" applyBorder="true" applyAlignment="true" applyProtection="true">
      <alignment horizontal="general" vertical="top" textRotation="0" wrapText="true" indent="0" shrinkToFit="false"/>
      <protection locked="true" hidden="false"/>
    </xf>
    <xf numFmtId="164" fontId="12" fillId="0" borderId="0" xfId="24" applyFont="true" applyBorder="true" applyAlignment="true" applyProtection="true">
      <alignment horizontal="general" vertical="center" textRotation="0" wrapText="false" indent="0" shrinkToFit="false"/>
      <protection locked="true" hidden="false"/>
    </xf>
    <xf numFmtId="164" fontId="13" fillId="0" borderId="4" xfId="24" applyFont="true" applyBorder="true" applyAlignment="true" applyProtection="true">
      <alignment horizontal="right" vertical="center" textRotation="0" wrapText="true" indent="0" shrinkToFit="false"/>
      <protection locked="true" hidden="false"/>
    </xf>
    <xf numFmtId="167" fontId="13" fillId="5" borderId="5" xfId="24" applyFont="true" applyBorder="true" applyAlignment="true" applyProtection="true">
      <alignment horizontal="center" vertical="top" textRotation="0" wrapText="true" indent="0" shrinkToFit="false"/>
      <protection locked="false" hidden="false"/>
    </xf>
    <xf numFmtId="168" fontId="15" fillId="0" borderId="0" xfId="24" applyFont="true" applyBorder="true" applyAlignment="true" applyProtection="true">
      <alignment horizontal="general" vertical="center" textRotation="0" wrapText="false" indent="0" shrinkToFit="false"/>
      <protection locked="true" hidden="true"/>
    </xf>
    <xf numFmtId="169" fontId="12" fillId="0" borderId="0" xfId="24" applyFont="true" applyBorder="true" applyAlignment="true" applyProtection="true">
      <alignment horizontal="general" vertical="center" textRotation="0" wrapText="false" indent="0" shrinkToFit="false"/>
      <protection locked="true" hidden="false"/>
    </xf>
    <xf numFmtId="164" fontId="13" fillId="0" borderId="0" xfId="24" applyFont="true" applyBorder="true" applyAlignment="true" applyProtection="true">
      <alignment horizontal="right" vertical="top" textRotation="0" wrapText="true" indent="0" shrinkToFit="false"/>
      <protection locked="true" hidden="false"/>
    </xf>
    <xf numFmtId="164" fontId="14" fillId="0" borderId="0" xfId="24" applyFont="true" applyBorder="true" applyAlignment="true" applyProtection="true">
      <alignment horizontal="general" vertical="top" textRotation="0" wrapText="true" indent="0" shrinkToFit="false"/>
      <protection locked="true" hidden="false"/>
    </xf>
    <xf numFmtId="164" fontId="13" fillId="0" borderId="2" xfId="24" applyFont="true" applyBorder="true" applyAlignment="true" applyProtection="true">
      <alignment horizontal="general" vertical="top" textRotation="0" wrapText="true" indent="0" shrinkToFit="false"/>
      <protection locked="true" hidden="false"/>
    </xf>
    <xf numFmtId="164" fontId="14" fillId="6" borderId="3" xfId="24" applyFont="true" applyBorder="true" applyAlignment="true" applyProtection="true">
      <alignment horizontal="general" vertical="top" textRotation="0" wrapText="true" indent="0" shrinkToFit="false"/>
      <protection locked="true" hidden="false"/>
    </xf>
    <xf numFmtId="164" fontId="8" fillId="0" borderId="0" xfId="24" applyFont="false" applyBorder="true" applyAlignment="true" applyProtection="true">
      <alignment horizontal="general" vertical="bottom" textRotation="0" wrapText="false" indent="0" shrinkToFit="false"/>
      <protection locked="true" hidden="false"/>
    </xf>
    <xf numFmtId="164" fontId="19" fillId="0" borderId="3" xfId="24" applyFont="true" applyBorder="true" applyAlignment="true" applyProtection="true">
      <alignment horizontal="general" vertical="top" textRotation="0" wrapText="true" indent="0" shrinkToFit="false"/>
      <protection locked="true" hidden="false"/>
    </xf>
    <xf numFmtId="164" fontId="13" fillId="0" borderId="3" xfId="24" applyFont="true" applyBorder="true" applyAlignment="true" applyProtection="true">
      <alignment horizontal="general" vertical="top" textRotation="0" wrapText="true" indent="0" shrinkToFit="false"/>
      <protection locked="true" hidden="false"/>
    </xf>
    <xf numFmtId="164" fontId="21" fillId="0" borderId="4" xfId="24" applyFont="true" applyBorder="true" applyAlignment="true" applyProtection="true">
      <alignment horizontal="right" vertical="top" textRotation="0" wrapText="true" indent="0" shrinkToFit="false"/>
      <protection locked="true" hidden="false"/>
    </xf>
    <xf numFmtId="170" fontId="13" fillId="5" borderId="5" xfId="24" applyFont="true" applyBorder="true" applyAlignment="true" applyProtection="true">
      <alignment horizontal="center" vertical="top" textRotation="0" wrapText="true" indent="0" shrinkToFit="false"/>
      <protection locked="false" hidden="false"/>
    </xf>
    <xf numFmtId="164" fontId="14" fillId="0" borderId="6" xfId="24" applyFont="true" applyBorder="true" applyAlignment="true" applyProtection="true">
      <alignment horizontal="general" vertical="top" textRotation="0" wrapText="true" indent="0" shrinkToFit="false"/>
      <protection locked="true" hidden="false"/>
    </xf>
    <xf numFmtId="164" fontId="13" fillId="0" borderId="0" xfId="24" applyFont="true" applyBorder="true" applyAlignment="true" applyProtection="true">
      <alignment horizontal="left" vertical="top" textRotation="0" wrapText="true" indent="0" shrinkToFit="false"/>
      <protection locked="true" hidden="false"/>
    </xf>
    <xf numFmtId="164" fontId="14" fillId="0" borderId="0" xfId="24" applyFont="true" applyBorder="true" applyAlignment="true" applyProtection="true">
      <alignment horizontal="left" vertical="top" textRotation="0" wrapText="true" indent="0" shrinkToFit="false"/>
      <protection locked="true" hidden="false"/>
    </xf>
    <xf numFmtId="164" fontId="22" fillId="0" borderId="0" xfId="0" applyFont="true" applyBorder="false" applyAlignment="true" applyProtection="true">
      <alignment horizontal="center" vertical="center" textRotation="0" wrapText="false" indent="0" shrinkToFit="false"/>
      <protection locked="true" hidden="false"/>
    </xf>
    <xf numFmtId="165" fontId="22" fillId="0" borderId="0" xfId="0" applyFont="true" applyBorder="false" applyAlignment="true" applyProtection="true">
      <alignment horizontal="left" vertical="center" textRotation="0" wrapText="false" indent="0" shrinkToFit="false"/>
      <protection locked="true" hidden="false"/>
    </xf>
    <xf numFmtId="164" fontId="22" fillId="0" borderId="0" xfId="0" applyFont="true" applyBorder="false" applyAlignment="true" applyProtection="true">
      <alignment horizontal="left" vertical="top" textRotation="0" wrapText="true" indent="0" shrinkToFit="false"/>
      <protection locked="true" hidden="false"/>
    </xf>
    <xf numFmtId="164" fontId="23" fillId="0" borderId="0" xfId="0" applyFont="true" applyBorder="false" applyAlignment="true" applyProtection="true">
      <alignment horizontal="center" vertical="center" textRotation="0" wrapText="false" indent="0" shrinkToFit="false"/>
      <protection locked="true" hidden="false"/>
    </xf>
    <xf numFmtId="171" fontId="23" fillId="0" borderId="0" xfId="0" applyFont="true" applyBorder="false" applyAlignment="true" applyProtection="true">
      <alignment horizontal="center" vertical="center" textRotation="0" wrapText="true" indent="0" shrinkToFit="false"/>
      <protection locked="true" hidden="false"/>
    </xf>
    <xf numFmtId="167" fontId="24" fillId="0" borderId="0" xfId="26" applyFont="true" applyBorder="true" applyAlignment="true" applyProtection="true">
      <alignment horizontal="center" vertical="center" textRotation="0" wrapText="true" indent="0" shrinkToFit="false"/>
      <protection locked="true" hidden="false"/>
    </xf>
    <xf numFmtId="167" fontId="23" fillId="0" borderId="0" xfId="0" applyFont="true" applyBorder="fals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left" vertical="top"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top" textRotation="0" wrapText="false" indent="0" shrinkToFit="false"/>
      <protection locked="true" hidden="false"/>
    </xf>
    <xf numFmtId="164" fontId="22" fillId="0" borderId="0" xfId="0" applyFont="true" applyBorder="false" applyAlignment="true" applyProtection="true">
      <alignment horizontal="general" vertical="center" textRotation="0" wrapText="true" indent="0" shrinkToFit="false"/>
      <protection locked="true" hidden="false"/>
    </xf>
    <xf numFmtId="164" fontId="22" fillId="0" borderId="0" xfId="0" applyFont="true" applyBorder="false" applyAlignment="true" applyProtection="true">
      <alignment horizontal="general" vertical="center" textRotation="0" wrapText="false" indent="0" shrinkToFit="false"/>
      <protection locked="true" hidden="false"/>
    </xf>
    <xf numFmtId="164" fontId="25" fillId="0" borderId="0" xfId="0" applyFont="true" applyBorder="false" applyAlignment="true" applyProtection="true">
      <alignment horizontal="center" vertical="center" textRotation="0" wrapText="false" indent="0" shrinkToFit="false"/>
      <protection locked="true" hidden="false"/>
    </xf>
    <xf numFmtId="164" fontId="26" fillId="6" borderId="0" xfId="0" applyFont="true" applyBorder="true" applyAlignment="true" applyProtection="true">
      <alignment horizontal="center" vertical="center" textRotation="0" wrapText="true" indent="0" shrinkToFit="false"/>
      <protection locked="true" hidden="false"/>
    </xf>
    <xf numFmtId="164" fontId="27" fillId="7" borderId="0" xfId="0" applyFont="true" applyBorder="true" applyAlignment="true" applyProtection="true">
      <alignment horizontal="center" vertical="center" textRotation="0" wrapText="true" indent="0" shrinkToFit="false"/>
      <protection locked="true" hidden="false"/>
    </xf>
    <xf numFmtId="164" fontId="6" fillId="8" borderId="0" xfId="0" applyFont="true" applyBorder="true" applyAlignment="true" applyProtection="true">
      <alignment horizontal="center" vertical="center" textRotation="0" wrapText="true" indent="0" shrinkToFit="false"/>
      <protection locked="true" hidden="false"/>
    </xf>
    <xf numFmtId="164" fontId="23"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false" applyBorder="false" applyAlignment="true" applyProtection="true">
      <alignment horizontal="left" vertical="center" textRotation="0" wrapText="false" indent="0" shrinkToFit="false"/>
      <protection locked="true" hidden="false"/>
    </xf>
    <xf numFmtId="164" fontId="28" fillId="0" borderId="0" xfId="0" applyFont="true" applyBorder="false" applyAlignment="true" applyProtection="true">
      <alignment horizontal="left" vertical="center" textRotation="0" wrapText="false" indent="0" shrinkToFit="false"/>
      <protection locked="true" hidden="false"/>
    </xf>
    <xf numFmtId="164" fontId="29" fillId="0" borderId="0" xfId="0" applyFont="true" applyBorder="false" applyAlignment="true" applyProtection="true">
      <alignment horizontal="center" vertical="center" textRotation="0" wrapText="false" indent="0" shrinkToFit="false"/>
      <protection locked="true" hidden="false"/>
    </xf>
    <xf numFmtId="167" fontId="30" fillId="0" borderId="0" xfId="26" applyFont="true" applyBorder="true" applyAlignment="true" applyProtection="true">
      <alignment horizontal="center" vertical="center" textRotation="0" wrapText="true" indent="0" shrinkToFit="false"/>
      <protection locked="true" hidden="false"/>
    </xf>
    <xf numFmtId="167" fontId="29" fillId="0" borderId="0" xfId="0" applyFont="true" applyBorder="false" applyAlignment="true" applyProtection="true">
      <alignment horizontal="center" vertical="center" textRotation="0" wrapText="true" indent="0" shrinkToFit="false"/>
      <protection locked="true" hidden="false"/>
    </xf>
    <xf numFmtId="164" fontId="23" fillId="8" borderId="0" xfId="0" applyFont="true" applyBorder="false" applyAlignment="true" applyProtection="true">
      <alignment horizontal="center" vertical="center" textRotation="0" wrapText="false" indent="0" shrinkToFit="false"/>
      <protection locked="true" hidden="false"/>
    </xf>
    <xf numFmtId="167" fontId="24" fillId="8" borderId="0" xfId="26" applyFont="true" applyBorder="true" applyAlignment="true" applyProtection="true">
      <alignment horizontal="center" vertical="center" textRotation="0" wrapText="true" indent="0" shrinkToFit="false"/>
      <protection locked="true" hidden="false"/>
    </xf>
    <xf numFmtId="167" fontId="23" fillId="8" borderId="0" xfId="0" applyFont="true" applyBorder="false" applyAlignment="true" applyProtection="true">
      <alignment horizontal="center" vertical="center" textRotation="0" wrapText="true" indent="0" shrinkToFit="false"/>
      <protection locked="true" hidden="false"/>
    </xf>
    <xf numFmtId="164" fontId="31" fillId="9" borderId="7" xfId="0" applyFont="true" applyBorder="true" applyAlignment="true" applyProtection="true">
      <alignment horizontal="center" vertical="center" textRotation="0" wrapText="false" indent="0" shrinkToFit="false"/>
      <protection locked="true" hidden="false"/>
    </xf>
    <xf numFmtId="172" fontId="32" fillId="0" borderId="0" xfId="0" applyFont="true" applyBorder="false" applyAlignment="true" applyProtection="true">
      <alignment horizontal="center" vertical="center" textRotation="0" wrapText="false" indent="0" shrinkToFit="false"/>
      <protection locked="true" hidden="false"/>
    </xf>
    <xf numFmtId="172" fontId="32" fillId="0" borderId="0" xfId="0" applyFont="true" applyBorder="false" applyAlignment="true" applyProtection="true">
      <alignment horizontal="center" vertical="center" textRotation="0" wrapText="true" indent="0" shrinkToFit="false"/>
      <protection locked="true" hidden="false"/>
    </xf>
    <xf numFmtId="164" fontId="22" fillId="0" borderId="0" xfId="0" applyFont="true" applyBorder="false" applyAlignment="true" applyProtection="true">
      <alignment horizontal="center" vertical="center" textRotation="0" wrapText="true" indent="0" shrinkToFit="false"/>
      <protection locked="true" hidden="false"/>
    </xf>
    <xf numFmtId="164" fontId="26" fillId="6" borderId="8" xfId="0" applyFont="true" applyBorder="true" applyAlignment="true" applyProtection="true">
      <alignment horizontal="center" vertical="center" textRotation="0" wrapText="true" indent="0" shrinkToFit="false"/>
      <protection locked="true" hidden="false"/>
    </xf>
    <xf numFmtId="172" fontId="33" fillId="7" borderId="8" xfId="0" applyFont="true" applyBorder="true" applyAlignment="true" applyProtection="true">
      <alignment horizontal="center" vertical="center" textRotation="0" wrapText="true" indent="0" shrinkToFit="false"/>
      <protection locked="true" hidden="false"/>
    </xf>
    <xf numFmtId="172" fontId="34" fillId="8" borderId="8" xfId="0" applyFont="true" applyBorder="true" applyAlignment="true" applyProtection="true">
      <alignment horizontal="center" vertical="center" textRotation="0" wrapText="true" indent="0" shrinkToFit="false"/>
      <protection locked="true" hidden="false"/>
    </xf>
    <xf numFmtId="164" fontId="22" fillId="0" borderId="7" xfId="0" applyFont="true" applyBorder="true" applyAlignment="true" applyProtection="true">
      <alignment horizontal="left" vertical="center" textRotation="0" wrapText="false" indent="0" shrinkToFit="false"/>
      <protection locked="true" hidden="false"/>
    </xf>
    <xf numFmtId="164" fontId="35" fillId="10" borderId="0" xfId="0" applyFont="true" applyBorder="false" applyAlignment="true" applyProtection="true">
      <alignment horizontal="center" vertical="center" textRotation="0" wrapText="false" indent="0" shrinkToFit="false"/>
      <protection locked="true" hidden="false"/>
    </xf>
    <xf numFmtId="164" fontId="36" fillId="6" borderId="8" xfId="0" applyFont="true" applyBorder="true" applyAlignment="true" applyProtection="true">
      <alignment horizontal="center" vertical="center" textRotation="0" wrapText="true" indent="0" shrinkToFit="false"/>
      <protection locked="true" hidden="false"/>
    </xf>
    <xf numFmtId="170" fontId="37" fillId="6" borderId="8" xfId="0" applyFont="true" applyBorder="true" applyAlignment="true" applyProtection="true">
      <alignment horizontal="center" vertical="center" textRotation="0" wrapText="true" indent="0" shrinkToFit="false"/>
      <protection locked="true" hidden="false"/>
    </xf>
    <xf numFmtId="164" fontId="38" fillId="0" borderId="0" xfId="0" applyFont="true" applyBorder="false" applyAlignment="true" applyProtection="true">
      <alignment horizontal="center" vertical="center" textRotation="0" wrapText="true" indent="0" shrinkToFit="false"/>
      <protection locked="true" hidden="false"/>
    </xf>
    <xf numFmtId="164" fontId="39" fillId="2" borderId="8" xfId="0" applyFont="true" applyBorder="true" applyAlignment="true" applyProtection="true">
      <alignment horizontal="center" vertical="center" textRotation="0" wrapText="false" indent="0" shrinkToFit="false"/>
      <protection locked="true" hidden="false"/>
    </xf>
    <xf numFmtId="165" fontId="39" fillId="2" borderId="8" xfId="0" applyFont="true" applyBorder="true" applyAlignment="true" applyProtection="true">
      <alignment horizontal="center" vertical="center" textRotation="0" wrapText="false" indent="0" shrinkToFit="false"/>
      <protection locked="true" hidden="false"/>
    </xf>
    <xf numFmtId="164" fontId="39" fillId="2" borderId="8" xfId="0" applyFont="true" applyBorder="true" applyAlignment="true" applyProtection="true">
      <alignment horizontal="center" vertical="center" textRotation="0" wrapText="true" indent="0" shrinkToFit="false"/>
      <protection locked="true" hidden="false"/>
    </xf>
    <xf numFmtId="164" fontId="39" fillId="2" borderId="9" xfId="0" applyFont="true" applyBorder="true" applyAlignment="true" applyProtection="true">
      <alignment horizontal="center" vertical="center" textRotation="0" wrapText="true" indent="0" shrinkToFit="false"/>
      <protection locked="true" hidden="false"/>
    </xf>
    <xf numFmtId="164" fontId="36" fillId="6" borderId="10" xfId="0" applyFont="true" applyBorder="true" applyAlignment="true" applyProtection="true">
      <alignment horizontal="center" vertical="center" textRotation="0" wrapText="true" indent="0" shrinkToFit="false"/>
      <protection locked="true" hidden="false"/>
    </xf>
    <xf numFmtId="164" fontId="36" fillId="6" borderId="10" xfId="0" applyFont="true" applyBorder="true" applyAlignment="true" applyProtection="true">
      <alignment horizontal="center" vertical="center" textRotation="90" wrapText="true" indent="0" shrinkToFit="false"/>
      <protection locked="true" hidden="false"/>
    </xf>
    <xf numFmtId="167" fontId="36" fillId="6" borderId="10" xfId="0" applyFont="true" applyBorder="true" applyAlignment="true" applyProtection="true">
      <alignment horizontal="center" vertical="center" textRotation="0" wrapText="true" indent="0" shrinkToFit="false"/>
      <protection locked="true" hidden="false"/>
    </xf>
    <xf numFmtId="164" fontId="40" fillId="7" borderId="10" xfId="0" applyFont="true" applyBorder="true" applyAlignment="true" applyProtection="true">
      <alignment horizontal="center" vertical="center" textRotation="0" wrapText="true" indent="0" shrinkToFit="false"/>
      <protection locked="true" hidden="false"/>
    </xf>
    <xf numFmtId="164" fontId="40" fillId="7" borderId="10" xfId="0" applyFont="true" applyBorder="true" applyAlignment="true" applyProtection="true">
      <alignment horizontal="center" vertical="center" textRotation="90" wrapText="true" indent="0" shrinkToFit="false"/>
      <protection locked="true" hidden="false"/>
    </xf>
    <xf numFmtId="167" fontId="40" fillId="7" borderId="10" xfId="0" applyFont="true" applyBorder="true" applyAlignment="true" applyProtection="true">
      <alignment horizontal="center" vertical="center" textRotation="0" wrapText="true" indent="0" shrinkToFit="false"/>
      <protection locked="true" hidden="false"/>
    </xf>
    <xf numFmtId="164" fontId="38" fillId="0" borderId="0" xfId="0" applyFont="true" applyBorder="false" applyAlignment="true" applyProtection="true">
      <alignment horizontal="left" vertical="top" textRotation="0" wrapText="true" indent="0" shrinkToFit="false"/>
      <protection locked="true" hidden="false"/>
    </xf>
    <xf numFmtId="164" fontId="22" fillId="0" borderId="0" xfId="0" applyFont="true" applyBorder="false" applyAlignment="true" applyProtection="true">
      <alignment horizontal="left" vertical="center" textRotation="0" wrapText="false" indent="0" shrinkToFit="false"/>
      <protection locked="true" hidden="false"/>
    </xf>
    <xf numFmtId="167" fontId="41" fillId="0" borderId="0" xfId="26" applyFont="true" applyBorder="true" applyAlignment="true" applyProtection="true">
      <alignment horizontal="center" vertical="center" textRotation="0" wrapText="true" indent="0" shrinkToFit="false"/>
      <protection locked="true" hidden="false"/>
    </xf>
    <xf numFmtId="167" fontId="41" fillId="0" borderId="0" xfId="26" applyFont="true" applyBorder="true" applyAlignment="true" applyProtection="true">
      <alignment horizontal="left" vertical="top" textRotation="0" wrapText="true" indent="0" shrinkToFit="false"/>
      <protection locked="true" hidden="false"/>
    </xf>
    <xf numFmtId="165" fontId="4" fillId="2" borderId="0" xfId="20" applyFont="true" applyBorder="true" applyAlignment="true" applyProtection="true">
      <alignment horizontal="general" vertical="center" textRotation="0" wrapText="false" indent="0" shrinkToFit="false"/>
      <protection locked="true" hidden="false"/>
    </xf>
    <xf numFmtId="165" fontId="4" fillId="2" borderId="0" xfId="20" applyFont="true" applyBorder="true" applyAlignment="true" applyProtection="true">
      <alignment horizontal="general" vertical="center" textRotation="0" wrapText="true" indent="0" shrinkToFit="false"/>
      <protection locked="true" hidden="false"/>
    </xf>
    <xf numFmtId="165" fontId="4" fillId="2" borderId="0" xfId="20" applyFont="true" applyBorder="true" applyAlignment="true" applyProtection="true">
      <alignment horizontal="general" vertical="top" textRotation="0" wrapText="true" indent="0" shrinkToFit="false"/>
      <protection locked="true" hidden="false"/>
    </xf>
    <xf numFmtId="165" fontId="42" fillId="2" borderId="0" xfId="20" applyFont="true" applyBorder="true" applyAlignment="true" applyProtection="true">
      <alignment horizontal="general" vertical="center" textRotation="0" wrapText="true" indent="0" shrinkToFit="false"/>
      <protection locked="true" hidden="false"/>
    </xf>
    <xf numFmtId="165" fontId="4" fillId="2" borderId="1" xfId="20" applyFont="true" applyBorder="true" applyAlignment="true" applyProtection="true">
      <alignment horizontal="general" vertical="center" textRotation="0" wrapText="tru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64" fontId="7" fillId="3" borderId="0" xfId="23" applyFont="true" applyBorder="true" applyAlignment="true" applyProtection="true">
      <alignment horizontal="general" vertical="center" textRotation="0" wrapText="false" indent="0" shrinkToFit="false"/>
      <protection locked="true" hidden="false"/>
    </xf>
    <xf numFmtId="164" fontId="7" fillId="3" borderId="0" xfId="23" applyFont="true" applyBorder="true" applyAlignment="true" applyProtection="true">
      <alignment horizontal="general" vertical="top" textRotation="0" wrapText="false" indent="0" shrinkToFit="false"/>
      <protection locked="true" hidden="false"/>
    </xf>
    <xf numFmtId="164" fontId="43" fillId="3" borderId="0" xfId="23" applyFont="true" applyBorder="true" applyAlignment="true" applyProtection="true">
      <alignment horizontal="general" vertical="center" textRotation="0" wrapText="false" indent="0" shrinkToFit="false"/>
      <protection locked="true" hidden="false"/>
    </xf>
    <xf numFmtId="164" fontId="7" fillId="3" borderId="1" xfId="23" applyFont="true" applyBorder="true" applyAlignment="true" applyProtection="true">
      <alignment horizontal="general" vertical="center" textRotation="0" wrapText="false" indent="0" shrinkToFit="false"/>
      <protection locked="true" hidden="false"/>
    </xf>
    <xf numFmtId="164" fontId="44"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44" fillId="0" borderId="0" xfId="0" applyFont="true" applyBorder="true" applyAlignment="true" applyProtection="true">
      <alignment horizontal="left" vertical="center" textRotation="0" wrapText="false" indent="0" shrinkToFit="false"/>
      <protection locked="true" hidden="false"/>
    </xf>
    <xf numFmtId="164" fontId="44" fillId="0" borderId="0" xfId="0" applyFont="true" applyBorder="true" applyAlignment="true" applyProtection="true">
      <alignment horizontal="left" vertical="center" textRotation="0" wrapText="true" indent="0" shrinkToFit="false"/>
      <protection locked="true" hidden="false"/>
    </xf>
    <xf numFmtId="167" fontId="45" fillId="0" borderId="0" xfId="26" applyFont="true" applyBorder="true" applyAlignment="true" applyProtection="true">
      <alignment horizontal="left" vertical="top" textRotation="0" wrapText="false" indent="0" shrinkToFit="false"/>
      <protection locked="true" hidden="false"/>
    </xf>
    <xf numFmtId="167" fontId="45" fillId="0" borderId="0" xfId="26" applyFont="true" applyBorder="true" applyAlignment="true" applyProtection="true">
      <alignment horizontal="left" vertical="center" textRotation="0" wrapText="false" indent="0" shrinkToFit="false"/>
      <protection locked="true" hidden="false"/>
    </xf>
    <xf numFmtId="167" fontId="45" fillId="0" borderId="0" xfId="0" applyFont="true" applyBorder="true" applyAlignment="true" applyProtection="true">
      <alignment horizontal="left" vertical="center" textRotation="0" wrapText="false" indent="0" shrinkToFit="false"/>
      <protection locked="true" hidden="false"/>
    </xf>
    <xf numFmtId="173" fontId="45" fillId="0" borderId="11" xfId="0" applyFont="true" applyBorder="true" applyAlignment="true" applyProtection="true">
      <alignment horizontal="left" vertical="center" textRotation="0" wrapText="false" indent="0" shrinkToFit="false"/>
      <protection locked="true" hidden="false"/>
    </xf>
    <xf numFmtId="164" fontId="45" fillId="0" borderId="0" xfId="0" applyFont="true" applyBorder="true" applyAlignment="true" applyProtection="true">
      <alignment horizontal="left" vertical="center" textRotation="0" wrapText="false" indent="0" shrinkToFit="false"/>
      <protection locked="true" hidden="false"/>
    </xf>
    <xf numFmtId="167" fontId="41" fillId="0" borderId="1" xfId="0" applyFont="true" applyBorder="true" applyAlignment="true" applyProtection="true">
      <alignment horizontal="left" vertical="center" textRotation="0" wrapText="false" indent="0" shrinkToFit="false"/>
      <protection locked="true" hidden="false"/>
    </xf>
    <xf numFmtId="164" fontId="41" fillId="0" borderId="12" xfId="24" applyFont="true" applyBorder="true" applyAlignment="true" applyProtection="true">
      <alignment horizontal="left" vertical="center" textRotation="0" wrapText="false" indent="0" shrinkToFit="false"/>
      <protection locked="true" hidden="false"/>
    </xf>
    <xf numFmtId="167" fontId="41" fillId="0" borderId="0" xfId="0" applyFont="true" applyBorder="true" applyAlignment="true" applyProtection="true">
      <alignment horizontal="center" vertical="center" textRotation="0" wrapText="true" indent="0" shrinkToFit="false"/>
      <protection locked="true" hidden="false"/>
    </xf>
    <xf numFmtId="167" fontId="22" fillId="0" borderId="13" xfId="0" applyFont="true" applyBorder="true" applyAlignment="true" applyProtection="true">
      <alignment horizontal="left" vertical="top" textRotation="0" wrapText="true" indent="0" shrinkToFit="false"/>
      <protection locked="true" hidden="false"/>
    </xf>
    <xf numFmtId="164" fontId="6" fillId="0" borderId="0" xfId="0" applyFont="true" applyBorder="true" applyAlignment="true" applyProtection="true">
      <alignment horizontal="left" vertical="center" textRotation="0" wrapText="true" indent="0" shrinkToFit="false"/>
      <protection locked="true" hidden="false"/>
    </xf>
    <xf numFmtId="164" fontId="44" fillId="0" borderId="0" xfId="0" applyFont="true" applyBorder="true" applyAlignment="true" applyProtection="true">
      <alignment horizontal="general" vertical="bottom" textRotation="0" wrapText="false" indent="0" shrinkToFit="false"/>
      <protection locked="true" hidden="false"/>
    </xf>
    <xf numFmtId="164" fontId="6" fillId="3" borderId="0" xfId="22" applyFont="true" applyBorder="true" applyAlignment="true" applyProtection="true">
      <alignment horizontal="general" vertical="center" textRotation="0" wrapText="false" indent="0" shrinkToFit="false"/>
      <protection locked="true" hidden="false"/>
    </xf>
    <xf numFmtId="164" fontId="6" fillId="3" borderId="0" xfId="22" applyFont="true" applyBorder="true" applyAlignment="true" applyProtection="true">
      <alignment horizontal="general" vertical="top" textRotation="0" wrapText="false" indent="0" shrinkToFit="false"/>
      <protection locked="true" hidden="false"/>
    </xf>
    <xf numFmtId="164" fontId="45" fillId="3" borderId="0" xfId="22" applyFont="true" applyBorder="true" applyAlignment="true" applyProtection="true">
      <alignment horizontal="general" vertical="center" textRotation="0" wrapText="false" indent="0" shrinkToFit="false"/>
      <protection locked="true" hidden="false"/>
    </xf>
    <xf numFmtId="164" fontId="6" fillId="3" borderId="1" xfId="22" applyFont="true" applyBorder="true" applyAlignment="true" applyProtection="true">
      <alignment horizontal="general" vertical="center" textRotation="0" wrapText="false" indent="0" shrinkToFit="false"/>
      <protection locked="true" hidden="false"/>
    </xf>
    <xf numFmtId="164" fontId="44" fillId="0" borderId="0" xfId="0" applyFont="true" applyBorder="false" applyAlignment="true" applyProtection="true">
      <alignment horizontal="left" vertical="center" textRotation="0" wrapText="false" indent="0" shrinkToFit="false"/>
      <protection locked="true" hidden="false"/>
    </xf>
    <xf numFmtId="164" fontId="5" fillId="0" borderId="0" xfId="21" applyFont="true" applyBorder="false" applyAlignment="true" applyProtection="true">
      <alignment horizontal="general" vertical="center" textRotation="0" wrapText="false" indent="0" shrinkToFit="false"/>
      <protection locked="true" hidden="false"/>
    </xf>
    <xf numFmtId="164" fontId="5" fillId="0" borderId="0" xfId="21" applyFont="true" applyBorder="false" applyAlignment="true" applyProtection="true">
      <alignment horizontal="general" vertical="top" textRotation="0" wrapText="false" indent="0" shrinkToFit="false"/>
      <protection locked="true" hidden="false"/>
    </xf>
    <xf numFmtId="164" fontId="46" fillId="0" borderId="0" xfId="21" applyFont="true" applyBorder="false" applyAlignment="true" applyProtection="true">
      <alignment horizontal="general" vertical="center" textRotation="0" wrapText="false" indent="0" shrinkToFit="false"/>
      <protection locked="true" hidden="false"/>
    </xf>
    <xf numFmtId="164" fontId="41" fillId="0" borderId="0" xfId="0" applyFont="true" applyBorder="false" applyAlignment="true" applyProtection="true">
      <alignment horizontal="left" vertical="center" textRotation="0" wrapText="false" indent="0" shrinkToFit="false"/>
      <protection locked="true" hidden="false"/>
    </xf>
    <xf numFmtId="173" fontId="41" fillId="0" borderId="11" xfId="0" applyFont="true" applyBorder="true" applyAlignment="true" applyProtection="true">
      <alignment horizontal="left" vertical="center" textRotation="0" wrapText="false" indent="0" shrinkToFit="false"/>
      <protection locked="true" hidden="false"/>
    </xf>
    <xf numFmtId="167" fontId="41" fillId="0" borderId="0" xfId="26" applyFont="true" applyBorder="true" applyAlignment="true" applyProtection="true">
      <alignment horizontal="left" vertical="center" textRotation="0" wrapText="false" indent="0" shrinkToFit="false"/>
      <protection locked="true" hidden="false"/>
    </xf>
    <xf numFmtId="164" fontId="0" fillId="0" borderId="13" xfId="0" applyFont="false" applyBorder="true" applyAlignment="true" applyProtection="true">
      <alignment horizontal="left" vertical="top" textRotation="0" wrapText="true" indent="0" shrinkToFit="false"/>
      <protection locked="true" hidden="false"/>
    </xf>
    <xf numFmtId="164" fontId="22" fillId="0" borderId="0" xfId="0" applyFont="true" applyBorder="fals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72" fontId="22" fillId="11" borderId="0" xfId="0" applyFont="true" applyBorder="true" applyAlignment="true" applyProtection="true">
      <alignment horizontal="center" vertical="center" textRotation="0" wrapText="false" indent="0" shrinkToFit="false"/>
      <protection locked="true" hidden="false"/>
    </xf>
    <xf numFmtId="164" fontId="22" fillId="11" borderId="0" xfId="0" applyFont="true" applyBorder="true" applyAlignment="true" applyProtection="true">
      <alignment horizontal="center" vertical="center" textRotation="0" wrapText="false" indent="0" shrinkToFit="false"/>
      <protection locked="true" hidden="false"/>
    </xf>
    <xf numFmtId="165" fontId="47" fillId="0" borderId="8" xfId="0" applyFont="true" applyBorder="true" applyAlignment="true" applyProtection="true">
      <alignment horizontal="general" vertical="center" textRotation="0" wrapText="true" indent="0" shrinkToFit="false"/>
      <protection locked="true" hidden="false"/>
    </xf>
    <xf numFmtId="164" fontId="38" fillId="0" borderId="8" xfId="0" applyFont="true" applyBorder="true" applyAlignment="true" applyProtection="true">
      <alignment horizontal="general" vertical="center" textRotation="0" wrapText="true" indent="0" shrinkToFit="false"/>
      <protection locked="true" hidden="false"/>
    </xf>
    <xf numFmtId="164" fontId="38" fillId="0" borderId="8" xfId="0" applyFont="true" applyBorder="true" applyAlignment="true" applyProtection="true">
      <alignment horizontal="general" vertical="top" textRotation="0" wrapText="true" indent="0" shrinkToFit="false"/>
      <protection locked="true" hidden="false"/>
    </xf>
    <xf numFmtId="164" fontId="41" fillId="0" borderId="8" xfId="0" applyFont="true" applyBorder="true" applyAlignment="true" applyProtection="true">
      <alignment horizontal="general" vertical="center" textRotation="0" wrapText="true" indent="0" shrinkToFit="false"/>
      <protection locked="true" hidden="false"/>
    </xf>
    <xf numFmtId="164" fontId="41" fillId="0" borderId="0" xfId="0" applyFont="true" applyBorder="false" applyAlignment="true" applyProtection="true">
      <alignment horizontal="center" vertical="center" textRotation="0" wrapText="false" indent="0" shrinkToFit="false"/>
      <protection locked="true" hidden="false"/>
    </xf>
    <xf numFmtId="173" fontId="41" fillId="0" borderId="12" xfId="0" applyFont="true" applyBorder="true" applyAlignment="true" applyProtection="true">
      <alignment horizontal="center" vertical="center" textRotation="0" wrapText="false" indent="0" shrinkToFit="false"/>
      <protection locked="true" hidden="false"/>
    </xf>
    <xf numFmtId="167" fontId="41" fillId="0" borderId="0" xfId="26" applyFont="true" applyBorder="true" applyAlignment="true" applyProtection="true">
      <alignment horizontal="center" vertical="center" textRotation="0" wrapText="false" indent="0" shrinkToFit="false"/>
      <protection locked="true" hidden="false"/>
    </xf>
    <xf numFmtId="167" fontId="41" fillId="0" borderId="1" xfId="0" applyFont="true" applyBorder="true" applyAlignment="true" applyProtection="true">
      <alignment horizontal="center" vertical="center" textRotation="0" wrapText="false" indent="0" shrinkToFit="false"/>
      <protection locked="true" hidden="false"/>
    </xf>
    <xf numFmtId="164" fontId="41" fillId="0" borderId="12" xfId="24" applyFont="true" applyBorder="true" applyAlignment="true" applyProtection="true">
      <alignment horizontal="center" vertical="center" textRotation="0" wrapText="false" indent="0" shrinkToFit="false"/>
      <protection locked="true" hidden="false"/>
    </xf>
    <xf numFmtId="167" fontId="41" fillId="0" borderId="1" xfId="0" applyFont="true" applyBorder="true" applyAlignment="true" applyProtection="true">
      <alignment horizontal="center" vertical="center" textRotation="0" wrapText="true" indent="0" shrinkToFit="false"/>
      <protection locked="true" hidden="false"/>
    </xf>
    <xf numFmtId="164" fontId="0" fillId="0" borderId="1" xfId="0" applyFont="false" applyBorder="true" applyAlignment="true" applyProtection="true">
      <alignment horizontal="left" vertical="top" textRotation="0" wrapText="true" indent="0" shrinkToFit="false"/>
      <protection locked="true" hidden="false"/>
    </xf>
    <xf numFmtId="164" fontId="22" fillId="0" borderId="0" xfId="0" applyFont="true" applyBorder="true" applyAlignment="true" applyProtection="true">
      <alignment horizontal="center" vertical="center" textRotation="0" wrapText="false" indent="0" shrinkToFit="false"/>
      <protection locked="true" hidden="false"/>
    </xf>
    <xf numFmtId="164" fontId="41" fillId="0" borderId="8" xfId="0" applyFont="true" applyBorder="true" applyAlignment="true" applyProtection="true">
      <alignment horizontal="center" vertical="center" textRotation="0" wrapText="false" indent="0" shrinkToFit="false"/>
      <protection locked="true" hidden="false"/>
    </xf>
    <xf numFmtId="168" fontId="22" fillId="0" borderId="8" xfId="0" applyFont="true" applyBorder="true" applyAlignment="true" applyProtection="true">
      <alignment horizontal="left" vertical="top" textRotation="0" wrapText="true" indent="0" shrinkToFit="false"/>
      <protection locked="true" hidden="false"/>
    </xf>
    <xf numFmtId="172" fontId="22" fillId="0" borderId="8" xfId="0" applyFont="true" applyBorder="true" applyAlignment="true" applyProtection="true">
      <alignment horizontal="center" vertical="center" textRotation="0" wrapText="false" indent="0" shrinkToFit="false"/>
      <protection locked="true" hidden="false"/>
    </xf>
    <xf numFmtId="174" fontId="41" fillId="0" borderId="9" xfId="0" applyFont="true" applyBorder="true" applyAlignment="true" applyProtection="true">
      <alignment horizontal="center" vertical="center" textRotation="0" wrapText="false" indent="0" shrinkToFit="false"/>
      <protection locked="true" hidden="false"/>
    </xf>
    <xf numFmtId="174" fontId="41" fillId="0" borderId="14" xfId="0" applyFont="true" applyBorder="true" applyAlignment="true" applyProtection="true">
      <alignment horizontal="center" vertical="center" textRotation="0" wrapText="false" indent="0" shrinkToFit="false"/>
      <protection locked="true" hidden="false"/>
    </xf>
    <xf numFmtId="170" fontId="41" fillId="0" borderId="15" xfId="0" applyFont="true" applyBorder="true" applyAlignment="true" applyProtection="true">
      <alignment horizontal="center" vertical="center" textRotation="0" wrapText="true" indent="0" shrinkToFit="false"/>
      <protection locked="true" hidden="false"/>
    </xf>
    <xf numFmtId="167" fontId="41" fillId="0" borderId="8" xfId="0" applyFont="true" applyBorder="true" applyAlignment="true" applyProtection="true">
      <alignment horizontal="center" vertical="center" textRotation="0" wrapText="false" indent="0" shrinkToFit="false"/>
      <protection locked="true" hidden="false"/>
    </xf>
    <xf numFmtId="167" fontId="41" fillId="0" borderId="16" xfId="0" applyFont="true" applyBorder="true" applyAlignment="true" applyProtection="true">
      <alignment horizontal="center" vertical="center" textRotation="0" wrapText="true" indent="0" shrinkToFit="false"/>
      <protection locked="true" hidden="false"/>
    </xf>
    <xf numFmtId="168" fontId="41" fillId="0" borderId="17" xfId="24" applyFont="true" applyBorder="true" applyAlignment="true" applyProtection="true">
      <alignment horizontal="center" vertical="center" textRotation="0" wrapText="false" indent="0" shrinkToFit="false"/>
      <protection locked="true" hidden="false"/>
    </xf>
    <xf numFmtId="167" fontId="41" fillId="0" borderId="9" xfId="0" applyFont="true" applyBorder="true" applyAlignment="true" applyProtection="true">
      <alignment horizontal="center" vertical="center" textRotation="0" wrapText="true" indent="0" shrinkToFit="false"/>
      <protection locked="true" hidden="false"/>
    </xf>
    <xf numFmtId="164" fontId="22" fillId="0" borderId="8" xfId="0" applyFont="true" applyBorder="true" applyAlignment="true" applyProtection="true">
      <alignment horizontal="center" vertical="center" textRotation="0" wrapText="false" indent="0" shrinkToFit="false"/>
      <protection locked="true" hidden="false"/>
    </xf>
    <xf numFmtId="170" fontId="41" fillId="0" borderId="17" xfId="0" applyFont="true" applyBorder="true" applyAlignment="true" applyProtection="true">
      <alignment horizontal="center" vertical="center" textRotation="0" wrapText="false" indent="0" shrinkToFit="false"/>
      <protection locked="true" hidden="false"/>
    </xf>
    <xf numFmtId="167" fontId="41" fillId="0" borderId="16" xfId="0" applyFont="true" applyBorder="true" applyAlignment="true" applyProtection="true">
      <alignment horizontal="center" vertical="center" textRotation="0" wrapText="false" indent="0" shrinkToFit="false"/>
      <protection locked="true" hidden="false"/>
    </xf>
    <xf numFmtId="173" fontId="41" fillId="0" borderId="15" xfId="0" applyFont="true" applyBorder="true" applyAlignment="true" applyProtection="true">
      <alignment horizontal="center" vertical="center" textRotation="0" wrapText="false" indent="0" shrinkToFit="false"/>
      <protection locked="true" hidden="false"/>
    </xf>
    <xf numFmtId="175" fontId="41" fillId="0" borderId="17" xfId="0" applyFont="true" applyBorder="true" applyAlignment="true" applyProtection="true">
      <alignment horizontal="center" vertical="center" textRotation="0" wrapText="false" indent="0" shrinkToFit="false"/>
      <protection locked="true" hidden="false"/>
    </xf>
    <xf numFmtId="174" fontId="41" fillId="0" borderId="8" xfId="0" applyFont="true" applyBorder="true" applyAlignment="true" applyProtection="true">
      <alignment horizontal="center" vertical="center" textRotation="0" wrapText="false" indent="0" shrinkToFit="false"/>
      <protection locked="true" hidden="false"/>
    </xf>
    <xf numFmtId="174" fontId="41" fillId="0" borderId="17" xfId="24" applyFont="true" applyBorder="true" applyAlignment="true" applyProtection="true">
      <alignment horizontal="center" vertical="center" textRotation="0" wrapText="false" indent="0" shrinkToFit="false"/>
      <protection locked="true" hidden="false"/>
    </xf>
    <xf numFmtId="174" fontId="41" fillId="12" borderId="14" xfId="0" applyFont="true" applyBorder="true" applyAlignment="true" applyProtection="true">
      <alignment horizontal="center" vertical="center" textRotation="0" wrapText="false" indent="0" shrinkToFit="false"/>
      <protection locked="true" hidden="false"/>
    </xf>
    <xf numFmtId="164" fontId="22" fillId="0" borderId="18" xfId="0" applyFont="true" applyBorder="true" applyAlignment="true" applyProtection="true">
      <alignment horizontal="left" vertical="top" textRotation="0" wrapText="true" indent="0" shrinkToFit="false"/>
      <protection locked="true" hidden="false"/>
    </xf>
    <xf numFmtId="165" fontId="38" fillId="0" borderId="8" xfId="0" applyFont="true" applyBorder="true" applyAlignment="true" applyProtection="true">
      <alignment horizontal="general" vertical="center" textRotation="0" wrapText="true" indent="0" shrinkToFit="false"/>
      <protection locked="true" hidden="false"/>
    </xf>
    <xf numFmtId="172" fontId="41" fillId="0" borderId="8" xfId="0" applyFont="true" applyBorder="true" applyAlignment="true" applyProtection="true">
      <alignment horizontal="center" vertical="center" textRotation="0" wrapText="false" indent="0" shrinkToFit="false"/>
      <protection locked="true" hidden="false"/>
    </xf>
    <xf numFmtId="172" fontId="41" fillId="0" borderId="17" xfId="24" applyFont="true" applyBorder="true" applyAlignment="true" applyProtection="true">
      <alignment horizontal="center" vertical="center" textRotation="0" wrapText="false" indent="0" shrinkToFit="false"/>
      <protection locked="true" hidden="false"/>
    </xf>
    <xf numFmtId="164" fontId="22" fillId="0" borderId="13" xfId="0" applyFont="true" applyBorder="true" applyAlignment="true" applyProtection="true">
      <alignment horizontal="left" vertical="top" textRotation="0" wrapText="true" indent="0" shrinkToFit="false"/>
      <protection locked="true" hidden="false"/>
    </xf>
    <xf numFmtId="164" fontId="22" fillId="0" borderId="0" xfId="0" applyFont="true" applyBorder="false" applyAlignment="true" applyProtection="true">
      <alignment horizontal="left" vertical="top" textRotation="0" wrapText="false" indent="0" shrinkToFit="false"/>
      <protection locked="true" hidden="false"/>
    </xf>
    <xf numFmtId="173" fontId="41" fillId="0" borderId="17" xfId="0" applyFont="true" applyBorder="true" applyAlignment="true" applyProtection="true">
      <alignment horizontal="center" vertical="center" textRotation="0" wrapText="false" indent="0" shrinkToFit="false"/>
      <protection locked="true" hidden="false"/>
    </xf>
    <xf numFmtId="173" fontId="41" fillId="0" borderId="16" xfId="0" applyFont="true" applyBorder="true" applyAlignment="true" applyProtection="true">
      <alignment horizontal="center" vertical="center" textRotation="0" wrapText="false" indent="0" shrinkToFit="false"/>
      <protection locked="true" hidden="false"/>
    </xf>
    <xf numFmtId="164" fontId="48" fillId="0" borderId="0" xfId="0" applyFont="true" applyBorder="true" applyAlignment="true" applyProtection="true">
      <alignment horizontal="center" vertical="center" textRotation="0" wrapText="false" indent="0" shrinkToFit="false"/>
      <protection locked="true" hidden="false"/>
    </xf>
    <xf numFmtId="172" fontId="48" fillId="11" borderId="0" xfId="0" applyFont="true" applyBorder="true" applyAlignment="true" applyProtection="true">
      <alignment horizontal="center" vertical="center" textRotation="0" wrapText="false" indent="0" shrinkToFit="false"/>
      <protection locked="true" hidden="false"/>
    </xf>
    <xf numFmtId="164" fontId="41" fillId="0" borderId="9" xfId="0" applyFont="true" applyBorder="true" applyAlignment="true" applyProtection="true">
      <alignment horizontal="center" vertical="center" textRotation="0" wrapText="false" indent="0" shrinkToFit="false"/>
      <protection locked="true" hidden="false"/>
    </xf>
    <xf numFmtId="174" fontId="41" fillId="0" borderId="7" xfId="0" applyFont="true" applyBorder="true" applyAlignment="true" applyProtection="true">
      <alignment horizontal="center" vertical="center" textRotation="0" wrapText="false" indent="0" shrinkToFit="false"/>
      <protection locked="true" hidden="false"/>
    </xf>
    <xf numFmtId="173" fontId="41" fillId="0" borderId="15" xfId="0" applyFont="true" applyBorder="true" applyAlignment="true" applyProtection="true">
      <alignment horizontal="center" vertical="center" textRotation="0" wrapText="true" indent="0" shrinkToFit="false"/>
      <protection locked="true" hidden="false"/>
    </xf>
    <xf numFmtId="173" fontId="41" fillId="0" borderId="16" xfId="0" applyFont="true" applyBorder="true" applyAlignment="true" applyProtection="true">
      <alignment horizontal="center" vertical="center" textRotation="0" wrapText="true" indent="0" shrinkToFit="false"/>
      <protection locked="true" hidden="false"/>
    </xf>
    <xf numFmtId="175" fontId="49" fillId="0" borderId="15" xfId="0" applyFont="true" applyBorder="true" applyAlignment="true" applyProtection="true">
      <alignment horizontal="center" vertical="center" textRotation="0" wrapText="false" indent="0" shrinkToFit="false"/>
      <protection locked="true" hidden="false"/>
    </xf>
    <xf numFmtId="164" fontId="49" fillId="0" borderId="8" xfId="0" applyFont="true" applyBorder="true" applyAlignment="true" applyProtection="true">
      <alignment horizontal="center" vertical="center" textRotation="0" wrapText="false" indent="0" shrinkToFit="false"/>
      <protection locked="true" hidden="false"/>
    </xf>
    <xf numFmtId="167" fontId="49" fillId="0" borderId="16" xfId="0" applyFont="true" applyBorder="true" applyAlignment="true" applyProtection="true">
      <alignment horizontal="center" vertical="center" textRotation="0" wrapText="false" indent="0" shrinkToFit="false"/>
      <protection locked="true" hidden="false"/>
    </xf>
    <xf numFmtId="164" fontId="49" fillId="0" borderId="17" xfId="24" applyFont="true" applyBorder="true" applyAlignment="true" applyProtection="true">
      <alignment horizontal="center" vertical="center" textRotation="0" wrapText="false" indent="0" shrinkToFit="false"/>
      <protection locked="true" hidden="false"/>
    </xf>
    <xf numFmtId="175" fontId="49" fillId="0" borderId="17" xfId="0" applyFont="true" applyBorder="true" applyAlignment="true" applyProtection="true">
      <alignment horizontal="center" vertical="center" textRotation="0" wrapText="false" indent="0" shrinkToFit="false"/>
      <protection locked="true" hidden="false"/>
    </xf>
    <xf numFmtId="174" fontId="49" fillId="0" borderId="17" xfId="24" applyFont="true" applyBorder="true" applyAlignment="true" applyProtection="true">
      <alignment horizontal="center" vertical="center" textRotation="0" wrapText="false" indent="0" shrinkToFit="false"/>
      <protection locked="true" hidden="false"/>
    </xf>
    <xf numFmtId="164" fontId="50" fillId="0" borderId="0" xfId="0" applyFont="tru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general" vertical="top" textRotation="0" wrapText="true" indent="0" shrinkToFit="false"/>
      <protection locked="true" hidden="false"/>
    </xf>
    <xf numFmtId="164" fontId="41" fillId="0" borderId="0" xfId="0" applyFont="true" applyBorder="false" applyAlignment="true" applyProtection="true">
      <alignment horizontal="general" vertical="center" textRotation="0" wrapText="true" indent="0" shrinkToFit="false"/>
      <protection locked="true" hidden="false"/>
    </xf>
    <xf numFmtId="165" fontId="4" fillId="2" borderId="0" xfId="20" applyFont="true" applyBorder="true" applyAlignment="true" applyProtection="true">
      <alignment horizontal="general" vertical="top" textRotation="0" wrapText="false" indent="0" shrinkToFit="false"/>
      <protection locked="true" hidden="false"/>
    </xf>
    <xf numFmtId="165" fontId="42" fillId="2" borderId="0" xfId="20" applyFont="true" applyBorder="true" applyAlignment="true" applyProtection="true">
      <alignment horizontal="general" vertical="center" textRotation="0" wrapText="false" indent="0" shrinkToFit="false"/>
      <protection locked="true" hidden="false"/>
    </xf>
    <xf numFmtId="165" fontId="4" fillId="2" borderId="19" xfId="20" applyFont="true" applyBorder="true" applyAlignment="true" applyProtection="true">
      <alignment horizontal="general" vertical="center" textRotation="0" wrapText="false" indent="0" shrinkToFit="false"/>
      <protection locked="true" hidden="false"/>
    </xf>
    <xf numFmtId="164" fontId="6" fillId="0" borderId="11" xfId="0" applyFont="true" applyBorder="tru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72" fontId="44" fillId="11" borderId="0" xfId="0" applyFont="true" applyBorder="true" applyAlignment="true" applyProtection="true">
      <alignment horizontal="center" vertical="center" textRotation="0" wrapText="false" indent="0" shrinkToFit="false"/>
      <protection locked="true" hidden="false"/>
    </xf>
    <xf numFmtId="164" fontId="6" fillId="11" borderId="0" xfId="0" applyFont="true" applyBorder="true" applyAlignment="true" applyProtection="true">
      <alignment horizontal="general" vertical="center" textRotation="0" wrapText="true" indent="0" shrinkToFit="false"/>
      <protection locked="true" hidden="false"/>
    </xf>
    <xf numFmtId="164" fontId="51" fillId="0" borderId="8" xfId="0" applyFont="true" applyBorder="true" applyAlignment="true" applyProtection="true">
      <alignment horizontal="left" vertical="top" textRotation="0" wrapText="true" indent="0" shrinkToFit="false"/>
      <protection locked="true" hidden="false"/>
    </xf>
    <xf numFmtId="164" fontId="52" fillId="0" borderId="8" xfId="0" applyFont="true" applyBorder="true" applyAlignment="true" applyProtection="true">
      <alignment horizontal="center" vertical="center" textRotation="0" wrapText="false" indent="0" shrinkToFit="false"/>
      <protection locked="true" hidden="false"/>
    </xf>
    <xf numFmtId="164" fontId="53" fillId="0" borderId="8" xfId="0" applyFont="true" applyBorder="true" applyAlignment="true" applyProtection="true">
      <alignment horizontal="center" vertical="center" textRotation="0" wrapText="false" indent="0" shrinkToFit="false"/>
      <protection locked="true" hidden="false"/>
    </xf>
    <xf numFmtId="164" fontId="53" fillId="0" borderId="9" xfId="0" applyFont="true" applyBorder="true" applyAlignment="true" applyProtection="true">
      <alignment horizontal="center" vertical="center" textRotation="0" wrapText="false" indent="0" shrinkToFit="false"/>
      <protection locked="true" hidden="false"/>
    </xf>
    <xf numFmtId="175" fontId="53" fillId="0" borderId="17" xfId="0" applyFont="true" applyBorder="true" applyAlignment="true" applyProtection="true">
      <alignment horizontal="center" vertical="center" textRotation="0" wrapText="false" indent="0" shrinkToFit="false"/>
      <protection locked="true" hidden="false"/>
    </xf>
    <xf numFmtId="167" fontId="45" fillId="0" borderId="8" xfId="0" applyFont="true" applyBorder="true" applyAlignment="true" applyProtection="true">
      <alignment horizontal="center" vertical="center" textRotation="0" wrapText="false" indent="0" shrinkToFit="false"/>
      <protection locked="true" hidden="false"/>
    </xf>
    <xf numFmtId="167" fontId="53" fillId="0" borderId="16" xfId="0" applyFont="true" applyBorder="true" applyAlignment="true" applyProtection="true">
      <alignment horizontal="center" vertical="center" textRotation="0" wrapText="false" indent="0" shrinkToFit="false"/>
      <protection locked="true" hidden="false"/>
    </xf>
    <xf numFmtId="164" fontId="53" fillId="0" borderId="17" xfId="24" applyFont="true" applyBorder="true" applyAlignment="true" applyProtection="true">
      <alignment horizontal="center" vertical="center" textRotation="0" wrapText="false" indent="0" shrinkToFit="false"/>
      <protection locked="true" hidden="false"/>
    </xf>
    <xf numFmtId="164" fontId="44" fillId="0" borderId="19" xfId="0" applyFont="true" applyBorder="true" applyAlignment="true" applyProtection="true">
      <alignment horizontal="left" vertical="top" textRotation="0" wrapText="true" indent="0" shrinkToFit="false"/>
      <protection locked="true" hidden="false"/>
    </xf>
    <xf numFmtId="164" fontId="44" fillId="0" borderId="11" xfId="0" applyFont="true" applyBorder="true" applyAlignment="true" applyProtection="true">
      <alignment horizontal="general" vertical="bottom" textRotation="0" wrapText="false" indent="0" shrinkToFit="false"/>
      <protection locked="true" hidden="false"/>
    </xf>
    <xf numFmtId="164" fontId="44" fillId="0" borderId="0" xfId="0" applyFont="true" applyBorder="false" applyAlignment="true" applyProtection="true">
      <alignment horizontal="left" vertical="top" textRotation="0" wrapText="false" indent="0" shrinkToFit="false"/>
      <protection locked="true" hidden="false"/>
    </xf>
    <xf numFmtId="164" fontId="44" fillId="0" borderId="0" xfId="0" applyFont="true" applyBorder="false" applyAlignment="true" applyProtection="true">
      <alignment horizontal="general" vertical="center" textRotation="0" wrapText="true" indent="0" shrinkToFit="false"/>
      <protection locked="true" hidden="false"/>
    </xf>
    <xf numFmtId="164" fontId="7" fillId="3" borderId="19" xfId="23" applyFont="true" applyBorder="true" applyAlignment="true" applyProtection="true">
      <alignment horizontal="general" vertical="center" textRotation="0" wrapText="false" indent="0" shrinkToFit="false"/>
      <protection locked="true" hidden="false"/>
    </xf>
    <xf numFmtId="164" fontId="6" fillId="3" borderId="19" xfId="22" applyFont="true" applyBorder="true" applyAlignment="true" applyProtection="true">
      <alignment horizontal="general" vertical="center" textRotation="0" wrapText="false" indent="0" shrinkToFit="false"/>
      <protection locked="true" hidden="false"/>
    </xf>
    <xf numFmtId="164" fontId="44" fillId="0" borderId="11" xfId="0" applyFont="true" applyBorder="true" applyAlignment="true" applyProtection="true">
      <alignment horizontal="general" vertical="center" textRotation="0" wrapText="false" indent="0" shrinkToFit="false"/>
      <protection locked="true" hidden="false"/>
    </xf>
    <xf numFmtId="164" fontId="44" fillId="0" borderId="0" xfId="0" applyFont="true" applyBorder="false" applyAlignment="true" applyProtection="true">
      <alignment horizontal="general" vertical="center" textRotation="0" wrapText="false" indent="0" shrinkToFit="false"/>
      <protection locked="true" hidden="false"/>
    </xf>
    <xf numFmtId="164" fontId="54" fillId="0" borderId="8" xfId="0" applyFont="true" applyBorder="true" applyAlignment="true" applyProtection="true">
      <alignment horizontal="left" vertical="top" textRotation="0" wrapText="true" indent="0" shrinkToFit="false"/>
      <protection locked="true" hidden="false"/>
    </xf>
    <xf numFmtId="164" fontId="55" fillId="0" borderId="8" xfId="0" applyFont="true" applyBorder="true" applyAlignment="true" applyProtection="true">
      <alignment horizontal="center" vertical="center" textRotation="0" wrapText="false" indent="0" shrinkToFit="false"/>
      <protection locked="true" hidden="false"/>
    </xf>
    <xf numFmtId="164" fontId="49" fillId="0" borderId="9" xfId="0" applyFont="true" applyBorder="true" applyAlignment="true" applyProtection="true">
      <alignment horizontal="center" vertical="center" textRotation="0" wrapText="false" indent="0" shrinkToFit="false"/>
      <protection locked="true" hidden="false"/>
    </xf>
    <xf numFmtId="164" fontId="0" fillId="0" borderId="19" xfId="0" applyFont="false" applyBorder="true" applyAlignment="true" applyProtection="true">
      <alignment horizontal="left" vertical="top" textRotation="0" wrapText="true" indent="0" shrinkToFit="false"/>
      <protection locked="true" hidden="false"/>
    </xf>
    <xf numFmtId="164" fontId="0" fillId="0" borderId="11" xfId="0" applyFont="false" applyBorder="true" applyAlignment="true" applyProtection="true">
      <alignment horizontal="general" vertical="bottom" textRotation="0" wrapText="false" indent="0" shrinkToFit="false"/>
      <protection locked="true" hidden="false"/>
    </xf>
    <xf numFmtId="164" fontId="0" fillId="0" borderId="20" xfId="0" applyFont="false" applyBorder="true" applyAlignment="true" applyProtection="true">
      <alignment horizontal="left" vertical="top" textRotation="0" wrapText="true" indent="0" shrinkToFit="false"/>
      <protection locked="true" hidden="false"/>
    </xf>
    <xf numFmtId="164" fontId="56" fillId="12" borderId="0" xfId="0" applyFont="true" applyBorder="false" applyAlignment="true" applyProtection="true">
      <alignment horizontal="general" vertical="bottom" textRotation="0" wrapText="false" indent="0" shrinkToFit="false"/>
      <protection locked="true" hidden="false"/>
    </xf>
    <xf numFmtId="164" fontId="0" fillId="12" borderId="0" xfId="0" applyFont="false" applyBorder="false" applyAlignment="true" applyProtection="true">
      <alignment horizontal="general" vertical="bottom" textRotation="0" wrapText="false" indent="0" shrinkToFit="false"/>
      <protection locked="true" hidden="false"/>
    </xf>
    <xf numFmtId="164" fontId="0" fillId="12" borderId="0" xfId="0" applyFont="false" applyBorder="false" applyAlignment="true" applyProtection="true">
      <alignment horizontal="general" vertical="top" textRotation="0" wrapText="false" indent="0" shrinkToFit="false"/>
      <protection locked="true" hidden="false"/>
    </xf>
    <xf numFmtId="164" fontId="22" fillId="0" borderId="21" xfId="0" applyFont="true" applyBorder="true" applyAlignment="true" applyProtection="true">
      <alignment horizontal="left" vertical="top" textRotation="0" wrapText="true" indent="0" shrinkToFit="false"/>
      <protection locked="true" hidden="false"/>
    </xf>
    <xf numFmtId="170" fontId="41" fillId="0" borderId="17" xfId="0" applyFont="true" applyBorder="true" applyAlignment="true" applyProtection="true">
      <alignment horizontal="center" vertical="center" textRotation="0" wrapText="true" indent="0" shrinkToFit="false"/>
      <protection locked="true" hidden="false"/>
    </xf>
    <xf numFmtId="165" fontId="38" fillId="0" borderId="8" xfId="0" applyFont="true" applyBorder="true" applyAlignment="true" applyProtection="true">
      <alignment horizontal="left" vertical="center" textRotation="0" wrapText="false" indent="0" shrinkToFit="false"/>
      <protection locked="true" hidden="false"/>
    </xf>
    <xf numFmtId="174" fontId="41" fillId="0" borderId="14" xfId="0" applyFont="true" applyBorder="true" applyAlignment="true" applyProtection="true">
      <alignment horizontal="center" vertical="center" textRotation="0" wrapText="true" indent="0" shrinkToFit="false"/>
      <protection locked="true" hidden="false"/>
    </xf>
    <xf numFmtId="164" fontId="5" fillId="0" borderId="0" xfId="21" applyFont="true" applyBorder="false" applyAlignment="true" applyProtection="true">
      <alignment horizontal="general" vertical="center" textRotation="0" wrapText="true" indent="0" shrinkToFit="false"/>
      <protection locked="true" hidden="false"/>
    </xf>
    <xf numFmtId="164" fontId="5" fillId="0" borderId="0" xfId="21" applyFont="true" applyBorder="false" applyAlignment="true" applyProtection="true">
      <alignment horizontal="general" vertical="top" textRotation="0" wrapText="true" indent="0" shrinkToFit="false"/>
      <protection locked="true" hidden="false"/>
    </xf>
    <xf numFmtId="164" fontId="46" fillId="0" borderId="0" xfId="21" applyFont="true" applyBorder="false" applyAlignment="true" applyProtection="true">
      <alignment horizontal="general" vertical="center" textRotation="0" wrapText="true" indent="0" shrinkToFit="false"/>
      <protection locked="true" hidden="false"/>
    </xf>
    <xf numFmtId="164" fontId="0" fillId="0" borderId="0" xfId="0" applyFont="false" applyBorder="false" applyAlignment="true" applyProtection="true">
      <alignment horizontal="general" vertical="top" textRotation="0" wrapText="false" indent="0" shrinkToFit="false"/>
      <protection locked="true" hidden="false"/>
    </xf>
    <xf numFmtId="164" fontId="22" fillId="0" borderId="0" xfId="0" applyFont="true" applyBorder="false" applyAlignment="true" applyProtection="true">
      <alignment horizontal="general" vertical="top" textRotation="0" wrapText="false" indent="0" shrinkToFit="false"/>
      <protection locked="true" hidden="false"/>
    </xf>
    <xf numFmtId="172" fontId="22" fillId="0" borderId="8" xfId="0" applyFont="true" applyBorder="true" applyAlignment="true" applyProtection="true">
      <alignment horizontal="center" vertical="top" textRotation="0" wrapText="false" indent="0" shrinkToFit="false"/>
      <protection locked="true" hidden="false"/>
    </xf>
    <xf numFmtId="164" fontId="41" fillId="0" borderId="8" xfId="0" applyFont="true" applyBorder="true" applyAlignment="true" applyProtection="true">
      <alignment horizontal="center" vertical="top" textRotation="0" wrapText="false" indent="0" shrinkToFit="false"/>
      <protection locked="true" hidden="false"/>
    </xf>
    <xf numFmtId="174" fontId="41" fillId="0" borderId="9" xfId="0" applyFont="true" applyBorder="true" applyAlignment="true" applyProtection="true">
      <alignment horizontal="center" vertical="top" textRotation="0" wrapText="false" indent="0" shrinkToFit="false"/>
      <protection locked="true" hidden="false"/>
    </xf>
    <xf numFmtId="164" fontId="0" fillId="0" borderId="11" xfId="0" applyFont="false" applyBorder="true" applyAlignment="true" applyProtection="true">
      <alignment horizontal="general" vertical="top" textRotation="0" wrapText="false" indent="0" shrinkToFit="false"/>
      <protection locked="true" hidden="false"/>
    </xf>
    <xf numFmtId="170" fontId="41" fillId="0" borderId="17" xfId="0" applyFont="true" applyBorder="true" applyAlignment="true" applyProtection="true">
      <alignment horizontal="center" vertical="top" textRotation="0" wrapText="true" indent="0" shrinkToFit="false"/>
      <protection locked="true" hidden="false"/>
    </xf>
    <xf numFmtId="167" fontId="41" fillId="0" borderId="16" xfId="0" applyFont="true" applyBorder="true" applyAlignment="true" applyProtection="true">
      <alignment horizontal="center" vertical="top" textRotation="0" wrapText="true" indent="0" shrinkToFit="false"/>
      <protection locked="true" hidden="false"/>
    </xf>
    <xf numFmtId="164" fontId="41" fillId="0" borderId="17" xfId="24" applyFont="true" applyBorder="true" applyAlignment="true" applyProtection="true">
      <alignment horizontal="center" vertical="top" textRotation="0" wrapText="false" indent="0" shrinkToFit="false"/>
      <protection locked="true" hidden="false"/>
    </xf>
    <xf numFmtId="164" fontId="22" fillId="0" borderId="22" xfId="0" applyFont="true" applyBorder="true" applyAlignment="true" applyProtection="true">
      <alignment horizontal="left" vertical="top" textRotation="0" wrapText="true" indent="0" shrinkToFit="false"/>
      <protection locked="true" hidden="false"/>
    </xf>
    <xf numFmtId="164" fontId="41" fillId="0" borderId="9" xfId="0" applyFont="true" applyBorder="true" applyAlignment="true" applyProtection="true">
      <alignment horizontal="center" vertical="top" textRotation="0" wrapText="false" indent="0" shrinkToFit="false"/>
      <protection locked="true" hidden="false"/>
    </xf>
    <xf numFmtId="164" fontId="0" fillId="0" borderId="11" xfId="0" applyFont="false" applyBorder="true" applyAlignment="true" applyProtection="true">
      <alignment horizontal="general" vertical="center" textRotation="0" wrapText="false" indent="0" shrinkToFit="false"/>
      <protection locked="true" hidden="false"/>
    </xf>
    <xf numFmtId="164" fontId="22" fillId="0" borderId="11" xfId="0" applyFont="true" applyBorder="true" applyAlignment="true" applyProtection="true">
      <alignment horizontal="general" vertical="center" textRotation="0" wrapText="false" indent="0" shrinkToFit="false"/>
      <protection locked="true" hidden="false"/>
    </xf>
    <xf numFmtId="167" fontId="41" fillId="0" borderId="15" xfId="0" applyFont="true" applyBorder="true" applyAlignment="true" applyProtection="true">
      <alignment horizontal="center" vertical="center" textRotation="0" wrapText="false" indent="0" shrinkToFit="false"/>
      <protection locked="true" hidden="false"/>
    </xf>
    <xf numFmtId="164" fontId="22" fillId="0" borderId="20" xfId="0" applyFont="true" applyBorder="true" applyAlignment="true" applyProtection="true">
      <alignment horizontal="left" vertical="top" textRotation="0" wrapText="true" indent="0" shrinkToFit="false"/>
      <protection locked="true" hidden="false"/>
    </xf>
    <xf numFmtId="164" fontId="22" fillId="0" borderId="15" xfId="0" applyFont="true" applyBorder="true" applyAlignment="true" applyProtection="true">
      <alignment horizontal="left" vertical="center" textRotation="0" wrapText="true" indent="0" shrinkToFit="false"/>
      <protection locked="true" hidden="false"/>
    </xf>
    <xf numFmtId="164" fontId="38" fillId="0" borderId="15" xfId="0" applyFont="true" applyBorder="true" applyAlignment="true" applyProtection="true">
      <alignment horizontal="left" vertical="center" textRotation="0" wrapText="true" indent="0" shrinkToFit="false"/>
      <protection locked="true" hidden="false"/>
    </xf>
    <xf numFmtId="164" fontId="22" fillId="0" borderId="8" xfId="0" applyFont="true" applyBorder="true" applyAlignment="true" applyProtection="true">
      <alignment horizontal="left" vertical="center" textRotation="0" wrapText="false" indent="0" shrinkToFit="false"/>
      <protection locked="true" hidden="false"/>
    </xf>
    <xf numFmtId="175" fontId="41" fillId="0" borderId="15" xfId="0" applyFont="true" applyBorder="true" applyAlignment="true" applyProtection="true">
      <alignment horizontal="center" vertical="center" textRotation="0" wrapText="false" indent="0" shrinkToFit="false"/>
      <protection locked="true" hidden="false"/>
    </xf>
    <xf numFmtId="164" fontId="41" fillId="0" borderId="23" xfId="0" applyFont="true" applyBorder="true" applyAlignment="true" applyProtection="true">
      <alignment horizontal="center" vertical="center" textRotation="0" wrapText="false" indent="0" shrinkToFit="false"/>
      <protection locked="true" hidden="false"/>
    </xf>
    <xf numFmtId="164" fontId="22" fillId="0" borderId="0" xfId="0" applyFont="true" applyBorder="true" applyAlignment="true" applyProtection="true">
      <alignment horizontal="center" vertical="top" textRotation="0" wrapText="false" indent="0" shrinkToFit="false"/>
      <protection locked="true" hidden="false"/>
    </xf>
    <xf numFmtId="164" fontId="22" fillId="0" borderId="21" xfId="0" applyFont="true" applyBorder="true" applyAlignment="true" applyProtection="true">
      <alignment horizontal="general" vertical="top" textRotation="0" wrapText="true" indent="0" shrinkToFit="false"/>
      <protection locked="true" hidden="false"/>
    </xf>
    <xf numFmtId="174" fontId="41" fillId="0" borderId="24" xfId="0" applyFont="true" applyBorder="true" applyAlignment="true" applyProtection="true">
      <alignment horizontal="center" vertical="center" textRotation="0" wrapText="false" indent="0" shrinkToFit="false"/>
      <protection locked="true" hidden="false"/>
    </xf>
    <xf numFmtId="174" fontId="41" fillId="12" borderId="25" xfId="0" applyFont="true" applyBorder="true" applyAlignment="true" applyProtection="true">
      <alignment horizontal="center" vertical="center" textRotation="0" wrapText="false" indent="0" shrinkToFit="false"/>
      <protection locked="true" hidden="false"/>
    </xf>
    <xf numFmtId="172" fontId="41" fillId="0" borderId="9" xfId="0" applyFont="true" applyBorder="true" applyAlignment="true" applyProtection="true">
      <alignment horizontal="center" vertical="center" textRotation="0" wrapText="false" indent="0" shrinkToFit="false"/>
      <protection locked="true" hidden="false"/>
    </xf>
    <xf numFmtId="164" fontId="46" fillId="0" borderId="26" xfId="21" applyFont="true" applyBorder="true" applyAlignment="true" applyProtection="true">
      <alignment horizontal="general" vertical="center" textRotation="0" wrapText="true" indent="0" shrinkToFit="false"/>
      <protection locked="true" hidden="false"/>
    </xf>
    <xf numFmtId="174" fontId="41" fillId="0" borderId="25" xfId="0" applyFont="true" applyBorder="true" applyAlignment="true" applyProtection="true">
      <alignment horizontal="center" vertical="center" textRotation="0" wrapText="false" indent="0" shrinkToFit="false"/>
      <protection locked="true" hidden="false"/>
    </xf>
    <xf numFmtId="164" fontId="22" fillId="0" borderId="8" xfId="0" applyFont="true" applyBorder="true" applyAlignment="true" applyProtection="true">
      <alignment horizontal="center" vertical="top" textRotation="0" wrapText="false" indent="0" shrinkToFit="false"/>
      <protection locked="true" hidden="false"/>
    </xf>
    <xf numFmtId="174" fontId="41" fillId="13" borderId="25" xfId="0" applyFont="true" applyBorder="true" applyAlignment="true" applyProtection="true">
      <alignment horizontal="center" vertical="center" textRotation="0" wrapText="false" indent="0" shrinkToFit="false"/>
      <protection locked="true" hidden="false"/>
    </xf>
    <xf numFmtId="170" fontId="41" fillId="0" borderId="15" xfId="0" applyFont="true" applyBorder="true" applyAlignment="true" applyProtection="true">
      <alignment horizontal="center" vertical="top" textRotation="0" wrapText="true" indent="0" shrinkToFit="false"/>
      <protection locked="true" hidden="false"/>
    </xf>
    <xf numFmtId="164" fontId="46" fillId="0" borderId="26" xfId="21" applyFont="true" applyBorder="true" applyAlignment="true" applyProtection="true">
      <alignment horizontal="general" vertical="center" textRotation="0" wrapText="false" indent="0" shrinkToFit="false"/>
      <protection locked="true" hidden="false"/>
    </xf>
    <xf numFmtId="174" fontId="41" fillId="0" borderId="27" xfId="0" applyFont="true" applyBorder="true" applyAlignment="true" applyProtection="true">
      <alignment horizontal="center" vertical="center" textRotation="0" wrapText="false" indent="0" shrinkToFit="false"/>
      <protection locked="true" hidden="false"/>
    </xf>
    <xf numFmtId="164" fontId="41" fillId="0" borderId="8" xfId="0" applyFont="true" applyBorder="true" applyAlignment="true" applyProtection="true">
      <alignment horizontal="left" vertical="center" textRotation="0" wrapText="true" indent="0" shrinkToFit="false"/>
      <protection locked="true" hidden="false"/>
    </xf>
    <xf numFmtId="164" fontId="41" fillId="0" borderId="15" xfId="0" applyFont="true" applyBorder="true" applyAlignment="true" applyProtection="true">
      <alignment horizontal="center" vertical="center" textRotation="0" wrapText="false" indent="0" shrinkToFit="false"/>
      <protection locked="true" hidden="false"/>
    </xf>
    <xf numFmtId="164" fontId="38" fillId="0" borderId="8" xfId="0" applyFont="true" applyBorder="true" applyAlignment="true" applyProtection="true">
      <alignment horizontal="center" vertical="center" textRotation="0" wrapText="false" indent="0" shrinkToFit="false"/>
      <protection locked="true" hidden="false"/>
    </xf>
    <xf numFmtId="164" fontId="41" fillId="0" borderId="28" xfId="0" applyFont="true" applyBorder="true" applyAlignment="true" applyProtection="true">
      <alignment horizontal="general" vertical="center" textRotation="0" wrapText="true" indent="0" shrinkToFit="false"/>
      <protection locked="true" hidden="false"/>
    </xf>
    <xf numFmtId="165" fontId="38" fillId="0" borderId="8" xfId="0" applyFont="true" applyBorder="true" applyAlignment="true" applyProtection="true">
      <alignment horizontal="general" vertical="center" textRotation="0" wrapText="false" indent="0" shrinkToFit="false"/>
      <protection locked="true" hidden="false"/>
    </xf>
    <xf numFmtId="164" fontId="6" fillId="11" borderId="0" xfId="0" applyFont="true" applyBorder="true" applyAlignment="true" applyProtection="true">
      <alignment horizontal="general" vertical="top" textRotation="0" wrapText="true" indent="0" shrinkToFit="false"/>
      <protection locked="true" hidden="false"/>
    </xf>
    <xf numFmtId="164" fontId="50" fillId="0" borderId="26" xfId="0" applyFont="true" applyBorder="true" applyAlignment="true" applyProtection="true">
      <alignment horizontal="general" vertical="bottom" textRotation="0" wrapText="false" indent="0" shrinkToFit="false"/>
      <protection locked="true" hidden="false"/>
    </xf>
    <xf numFmtId="164" fontId="50" fillId="0" borderId="11" xfId="0" applyFont="true" applyBorder="true" applyAlignment="true" applyProtection="true">
      <alignment horizontal="general" vertical="bottom" textRotation="0" wrapText="false" indent="0" shrinkToFit="false"/>
      <protection locked="true" hidden="false"/>
    </xf>
    <xf numFmtId="164" fontId="50" fillId="0" borderId="1" xfId="0" applyFont="true" applyBorder="true" applyAlignment="true" applyProtection="true">
      <alignment horizontal="general" vertical="bottom" textRotation="0" wrapText="false" indent="0" shrinkToFit="false"/>
      <protection locked="true" hidden="false"/>
    </xf>
    <xf numFmtId="164" fontId="48" fillId="0" borderId="8" xfId="0" applyFont="true" applyBorder="true" applyAlignment="true" applyProtection="true">
      <alignment horizontal="center" vertical="center" textRotation="0" wrapText="false" indent="0" shrinkToFit="false"/>
      <protection locked="true" hidden="false"/>
    </xf>
    <xf numFmtId="164" fontId="55" fillId="0" borderId="8" xfId="0" applyFont="true" applyBorder="true" applyAlignment="true" applyProtection="true">
      <alignment horizontal="left" vertical="center" textRotation="0" wrapText="false" indent="0" shrinkToFit="false"/>
      <protection locked="true" hidden="false"/>
    </xf>
    <xf numFmtId="164" fontId="51" fillId="0" borderId="0" xfId="0" applyFont="true" applyBorder="false" applyAlignment="true" applyProtection="true">
      <alignment horizontal="general" vertical="center" textRotation="0" wrapText="true" indent="0" shrinkToFit="false"/>
      <protection locked="true" hidden="false"/>
    </xf>
    <xf numFmtId="164" fontId="51" fillId="0" borderId="0" xfId="0" applyFont="true" applyBorder="false" applyAlignment="true" applyProtection="true">
      <alignment horizontal="general" vertical="top" textRotation="0" wrapText="true" indent="0" shrinkToFit="false"/>
      <protection locked="true" hidden="false"/>
    </xf>
    <xf numFmtId="164" fontId="22" fillId="0" borderId="0" xfId="0" applyFont="true" applyBorder="true" applyAlignment="true" applyProtection="true">
      <alignment horizontal="center" vertical="top" textRotation="0" wrapText="true" indent="0" shrinkToFit="false"/>
      <protection locked="true" hidden="false"/>
    </xf>
    <xf numFmtId="172" fontId="22" fillId="0" borderId="8" xfId="0" applyFont="true" applyBorder="true" applyAlignment="true" applyProtection="true">
      <alignment horizontal="center" vertical="center" textRotation="0" wrapText="true" indent="0" shrinkToFit="false"/>
      <protection locked="true" hidden="false"/>
    </xf>
    <xf numFmtId="164" fontId="41" fillId="0" borderId="8" xfId="0" applyFont="true" applyBorder="true" applyAlignment="true" applyProtection="true">
      <alignment horizontal="center" vertical="center" textRotation="0" wrapText="true" indent="0" shrinkToFit="false"/>
      <protection locked="true" hidden="false"/>
    </xf>
    <xf numFmtId="164" fontId="41" fillId="0" borderId="21" xfId="0" applyFont="true" applyBorder="true" applyAlignment="true" applyProtection="true">
      <alignment horizontal="left" vertical="top" textRotation="0" wrapText="true" indent="0" shrinkToFit="false"/>
      <protection locked="true" hidden="false"/>
    </xf>
    <xf numFmtId="164" fontId="22" fillId="0" borderId="11" xfId="0" applyFont="true" applyBorder="true" applyAlignment="true" applyProtection="true">
      <alignment horizontal="left" vertical="top" textRotation="0" wrapText="true" indent="0" shrinkToFit="false"/>
      <protection locked="true" hidden="false"/>
    </xf>
    <xf numFmtId="176" fontId="22" fillId="11" borderId="0" xfId="0" applyFont="true" applyBorder="true" applyAlignment="true" applyProtection="true">
      <alignment horizontal="center" vertical="center" textRotation="0" wrapText="false" indent="0" shrinkToFit="false"/>
      <protection locked="true" hidden="false"/>
    </xf>
    <xf numFmtId="164" fontId="38" fillId="11" borderId="0" xfId="0" applyFont="true" applyBorder="true" applyAlignment="true" applyProtection="true">
      <alignment horizontal="left" vertical="center" textRotation="0" wrapText="false" indent="0" shrinkToFit="false"/>
      <protection locked="true" hidden="false"/>
    </xf>
    <xf numFmtId="164" fontId="38" fillId="0" borderId="9" xfId="0" applyFont="true" applyBorder="true" applyAlignment="true" applyProtection="true">
      <alignment horizontal="center" vertical="center" textRotation="0" wrapText="false" indent="0" shrinkToFit="false"/>
      <protection locked="true" hidden="false"/>
    </xf>
    <xf numFmtId="174" fontId="41" fillId="0" borderId="9" xfId="0" applyFont="true" applyBorder="true" applyAlignment="true" applyProtection="true">
      <alignment horizontal="center" vertical="center" textRotation="0" wrapText="true" indent="0" shrinkToFit="false"/>
      <protection locked="true" hidden="false"/>
    </xf>
    <xf numFmtId="168" fontId="41" fillId="0" borderId="17" xfId="24" applyFont="true" applyBorder="true" applyAlignment="true" applyProtection="true">
      <alignment horizontal="center" vertical="center" textRotation="0" wrapText="true" indent="0" shrinkToFit="false"/>
      <protection locked="true" hidden="false"/>
    </xf>
    <xf numFmtId="164" fontId="0" fillId="0" borderId="11" xfId="0" applyFont="false" applyBorder="true" applyAlignment="true" applyProtection="true">
      <alignment horizontal="general"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50" fillId="0" borderId="20" xfId="0" applyFont="true" applyBorder="true" applyAlignment="true" applyProtection="true">
      <alignment horizontal="left" vertical="top" textRotation="0" wrapText="true" indent="0" shrinkToFit="false"/>
      <protection locked="true" hidden="false"/>
    </xf>
    <xf numFmtId="164" fontId="22" fillId="0" borderId="0" xfId="0" applyFont="true" applyBorder="true" applyAlignment="true" applyProtection="true">
      <alignment horizontal="left" vertical="center" textRotation="0" wrapText="false" indent="0" shrinkToFit="false"/>
      <protection locked="true" hidden="false"/>
    </xf>
    <xf numFmtId="170" fontId="41" fillId="0" borderId="15" xfId="0" applyFont="true" applyBorder="true" applyAlignment="true" applyProtection="true">
      <alignment horizontal="center" vertical="center" textRotation="0" wrapText="false" indent="0" shrinkToFit="false"/>
      <protection locked="true" hidden="false"/>
    </xf>
    <xf numFmtId="164" fontId="22" fillId="0" borderId="19" xfId="0" applyFont="true" applyBorder="true" applyAlignment="true" applyProtection="true">
      <alignment horizontal="left" vertical="top" textRotation="0" wrapText="true" indent="0" shrinkToFit="false"/>
      <protection locked="true" hidden="false"/>
    </xf>
    <xf numFmtId="165" fontId="38" fillId="0" borderId="29" xfId="0" applyFont="true" applyBorder="true" applyAlignment="true" applyProtection="true">
      <alignment horizontal="left" vertical="center" textRotation="0" wrapText="false" indent="0" shrinkToFit="false"/>
      <protection locked="true" hidden="false"/>
    </xf>
    <xf numFmtId="172" fontId="22" fillId="0" borderId="23" xfId="0" applyFont="true" applyBorder="true" applyAlignment="true" applyProtection="true">
      <alignment horizontal="center" vertical="center" textRotation="0" wrapText="true" indent="0" shrinkToFit="false"/>
      <protection locked="true" hidden="false"/>
    </xf>
    <xf numFmtId="172" fontId="41" fillId="0" borderId="23" xfId="0" applyFont="true" applyBorder="true" applyAlignment="true" applyProtection="true">
      <alignment horizontal="center" vertical="center" textRotation="0" wrapText="true" indent="0" shrinkToFit="false"/>
      <protection locked="true" hidden="false"/>
    </xf>
    <xf numFmtId="164" fontId="38" fillId="0" borderId="19" xfId="0" applyFont="true" applyBorder="true" applyAlignment="true" applyProtection="true">
      <alignment horizontal="left" vertical="top" textRotation="0" wrapText="true" indent="0" shrinkToFit="false"/>
      <protection locked="true" hidden="false"/>
    </xf>
    <xf numFmtId="164" fontId="38" fillId="0" borderId="8" xfId="0" applyFont="true" applyBorder="true" applyAlignment="true" applyProtection="true">
      <alignment horizontal="center" vertical="top" textRotation="0" wrapText="false" indent="0" shrinkToFit="false"/>
      <protection locked="true" hidden="false"/>
    </xf>
    <xf numFmtId="164" fontId="38" fillId="0" borderId="20" xfId="0" applyFont="true" applyBorder="true" applyAlignment="true" applyProtection="true">
      <alignment horizontal="general" vertical="top" textRotation="0" wrapText="true" indent="0" shrinkToFit="false"/>
      <protection locked="true" hidden="false"/>
    </xf>
    <xf numFmtId="167" fontId="22" fillId="0" borderId="20" xfId="0" applyFont="true" applyBorder="true" applyAlignment="true" applyProtection="true">
      <alignment horizontal="left" vertical="top" textRotation="0" wrapText="true" indent="0" shrinkToFit="false"/>
      <protection locked="true" hidden="false"/>
    </xf>
    <xf numFmtId="164" fontId="56" fillId="12" borderId="0" xfId="0" applyFont="true" applyBorder="false" applyAlignment="true" applyProtection="true">
      <alignment horizontal="general" vertical="center" textRotation="0" wrapText="false" indent="0" shrinkToFit="false"/>
      <protection locked="true" hidden="false"/>
    </xf>
    <xf numFmtId="164" fontId="9" fillId="12" borderId="0" xfId="0" applyFont="true" applyBorder="false" applyAlignment="true" applyProtection="true">
      <alignment horizontal="general" vertical="center" textRotation="0" wrapText="false" indent="0" shrinkToFit="false"/>
      <protection locked="true" hidden="false"/>
    </xf>
    <xf numFmtId="164" fontId="9" fillId="12" borderId="0" xfId="0" applyFont="true" applyBorder="false" applyAlignment="true" applyProtection="true">
      <alignment horizontal="general" vertical="top" textRotation="0" wrapText="false" indent="0" shrinkToFit="false"/>
      <protection locked="true" hidden="false"/>
    </xf>
    <xf numFmtId="164" fontId="22" fillId="0" borderId="9" xfId="0" applyFont="true" applyBorder="true" applyAlignment="true" applyProtection="true">
      <alignment horizontal="center" vertical="center" textRotation="0" wrapText="false" indent="0" shrinkToFit="false"/>
      <protection locked="true" hidden="false"/>
    </xf>
    <xf numFmtId="174" fontId="22" fillId="0" borderId="24" xfId="0" applyFont="true" applyBorder="true" applyAlignment="true" applyProtection="true">
      <alignment horizontal="center" vertical="center" textRotation="0" wrapText="false" indent="0" shrinkToFit="false"/>
      <protection locked="true" hidden="false"/>
    </xf>
    <xf numFmtId="174" fontId="22" fillId="0" borderId="25" xfId="0" applyFont="true" applyBorder="true" applyAlignment="true" applyProtection="true">
      <alignment horizontal="center" vertical="center" textRotation="0" wrapText="false" indent="0" shrinkToFit="false"/>
      <protection locked="true" hidden="false"/>
    </xf>
    <xf numFmtId="173" fontId="22" fillId="0" borderId="11" xfId="0" applyFont="true" applyBorder="true" applyAlignment="true" applyProtection="true">
      <alignment horizontal="center" vertical="center" textRotation="0" wrapText="true" indent="0" shrinkToFit="false"/>
      <protection locked="true" hidden="false"/>
    </xf>
    <xf numFmtId="167" fontId="22" fillId="0" borderId="1" xfId="0" applyFont="true" applyBorder="true" applyAlignment="true" applyProtection="true">
      <alignment horizontal="center" vertical="center" textRotation="0" wrapText="true" indent="0" shrinkToFit="false"/>
      <protection locked="true" hidden="false"/>
    </xf>
    <xf numFmtId="167" fontId="22" fillId="0" borderId="30" xfId="0" applyFont="true" applyBorder="true" applyAlignment="true" applyProtection="true">
      <alignment horizontal="center" vertical="center" textRotation="0" wrapText="true" indent="0" shrinkToFit="false"/>
      <protection locked="true" hidden="false"/>
    </xf>
    <xf numFmtId="164" fontId="22" fillId="0" borderId="0" xfId="0" applyFont="true" applyBorder="false" applyAlignment="true" applyProtection="true">
      <alignment horizontal="center" vertical="top" textRotation="0" wrapText="false" indent="0" shrinkToFit="false"/>
      <protection locked="true" hidden="false"/>
    </xf>
    <xf numFmtId="164" fontId="22" fillId="0" borderId="26" xfId="0" applyFont="true" applyBorder="true" applyAlignment="true" applyProtection="true">
      <alignment horizontal="center" vertical="center" textRotation="0" wrapText="false" indent="0" shrinkToFit="false"/>
      <protection locked="true" hidden="false"/>
    </xf>
    <xf numFmtId="167" fontId="22" fillId="0" borderId="0" xfId="0" applyFont="true" applyBorder="true" applyAlignment="true" applyProtection="true">
      <alignment horizontal="center" vertical="center" textRotation="0" wrapText="true" indent="0" shrinkToFit="false"/>
      <protection locked="true" hidden="false"/>
    </xf>
    <xf numFmtId="164" fontId="57" fillId="2" borderId="0" xfId="0" applyFont="true" applyBorder="true" applyAlignment="true" applyProtection="true">
      <alignment horizontal="right" vertical="center" textRotation="0" wrapText="true" indent="0" shrinkToFit="false"/>
      <protection locked="true" hidden="false"/>
    </xf>
    <xf numFmtId="164" fontId="58" fillId="0" borderId="0" xfId="0" applyFont="true" applyBorder="true" applyAlignment="true" applyProtection="true">
      <alignment horizontal="center" vertical="center" textRotation="0" wrapText="false" indent="0" shrinkToFit="false"/>
      <protection locked="true" hidden="false"/>
    </xf>
    <xf numFmtId="167" fontId="57" fillId="7" borderId="31" xfId="0" applyFont="true" applyBorder="true" applyAlignment="true" applyProtection="true">
      <alignment horizontal="right" vertical="center" textRotation="0" wrapText="true" indent="0" shrinkToFit="false"/>
      <protection locked="true" hidden="false"/>
    </xf>
    <xf numFmtId="167" fontId="57" fillId="6" borderId="32" xfId="0" applyFont="true" applyBorder="true" applyAlignment="true" applyProtection="true">
      <alignment horizontal="right" vertical="center" textRotation="0" wrapText="false" indent="0" shrinkToFit="false"/>
      <protection locked="true" hidden="false"/>
    </xf>
    <xf numFmtId="164" fontId="58" fillId="0" borderId="33" xfId="0" applyFont="true" applyBorder="true" applyAlignment="true" applyProtection="true">
      <alignment horizontal="left" vertical="top" textRotation="0" wrapText="true" indent="0" shrinkToFit="false"/>
      <protection locked="true" hidden="false"/>
    </xf>
    <xf numFmtId="164" fontId="58" fillId="0" borderId="11" xfId="0" applyFont="true" applyBorder="true" applyAlignment="true" applyProtection="true">
      <alignment horizontal="general" vertical="center" textRotation="0" wrapText="true" indent="0" shrinkToFit="false"/>
      <protection locked="true" hidden="false"/>
    </xf>
    <xf numFmtId="164" fontId="58" fillId="0" borderId="0" xfId="0" applyFont="true" applyBorder="false" applyAlignment="true" applyProtection="true">
      <alignment horizontal="general" vertical="center" textRotation="0" wrapText="true" indent="0" shrinkToFit="false"/>
      <protection locked="true" hidden="false"/>
    </xf>
    <xf numFmtId="164" fontId="58" fillId="0" borderId="0" xfId="0" applyFont="true" applyBorder="false" applyAlignment="true" applyProtection="true">
      <alignment horizontal="left" vertical="top" textRotation="0" wrapText="true" indent="0" shrinkToFit="false"/>
      <protection locked="true" hidden="false"/>
    </xf>
    <xf numFmtId="164" fontId="58" fillId="0" borderId="0" xfId="0" applyFont="true" applyBorder="false" applyAlignment="true" applyProtection="true">
      <alignment horizontal="general" vertical="bottom" textRotation="0" wrapText="false" indent="0" shrinkToFit="false"/>
      <protection locked="true" hidden="false"/>
    </xf>
    <xf numFmtId="174" fontId="59" fillId="14" borderId="14" xfId="0" applyFont="true" applyBorder="true" applyAlignment="true" applyProtection="true">
      <alignment horizontal="center" vertical="center" textRotation="0" wrapText="false" indent="0" shrinkToFit="false"/>
      <protection locked="true" hidden="false"/>
    </xf>
    <xf numFmtId="164" fontId="59" fillId="0" borderId="0" xfId="0" applyFont="true" applyBorder="false" applyAlignment="true" applyProtection="true">
      <alignment horizontal="general" vertical="top" textRotation="0" wrapText="false" indent="0" shrinkToFit="false"/>
      <protection locked="true" hidden="false"/>
    </xf>
    <xf numFmtId="164" fontId="0" fillId="0" borderId="0" xfId="0" applyFont="false" applyBorder="false" applyAlignment="true" applyProtection="true">
      <alignment horizontal="general" vertical="top" textRotation="0" wrapText="true" indent="0" shrinkToFit="false"/>
      <protection locked="true" hidden="false"/>
    </xf>
    <xf numFmtId="164" fontId="0" fillId="0" borderId="0" xfId="0" applyFont="false" applyBorder="false" applyAlignment="true" applyProtection="true">
      <alignment horizontal="center" vertical="top" textRotation="0" wrapText="false" indent="0" shrinkToFit="false"/>
      <protection locked="true" hidden="false"/>
    </xf>
    <xf numFmtId="164" fontId="60" fillId="0" borderId="0" xfId="0" applyFont="true" applyBorder="false" applyAlignment="true" applyProtection="true">
      <alignment horizontal="general" vertical="top" textRotation="0" wrapText="true" indent="0" shrinkToFit="false"/>
      <protection locked="true" hidden="false"/>
    </xf>
    <xf numFmtId="164" fontId="61" fillId="2" borderId="34" xfId="0" applyFont="true" applyBorder="true" applyAlignment="true" applyProtection="true">
      <alignment horizontal="center" vertical="top" textRotation="0" wrapText="false" indent="0" shrinkToFit="false"/>
      <protection locked="true" hidden="false"/>
    </xf>
    <xf numFmtId="167" fontId="59" fillId="3" borderId="35" xfId="0" applyFont="true" applyBorder="true" applyAlignment="true" applyProtection="true">
      <alignment horizontal="center" vertical="top" textRotation="0" wrapText="false" indent="0" shrinkToFit="false"/>
      <protection locked="true" hidden="false"/>
    </xf>
    <xf numFmtId="174" fontId="59" fillId="3" borderId="35" xfId="0" applyFont="true" applyBorder="true" applyAlignment="true" applyProtection="true">
      <alignment horizontal="center" vertical="top" textRotation="0" wrapText="false" indent="0" shrinkToFit="false"/>
      <protection locked="true" hidden="false"/>
    </xf>
    <xf numFmtId="164" fontId="62" fillId="9" borderId="36" xfId="0" applyFont="true" applyBorder="true" applyAlignment="true" applyProtection="true">
      <alignment horizontal="center" vertical="top" textRotation="0" wrapText="false" indent="0" shrinkToFit="false"/>
      <protection locked="true" hidden="false"/>
    </xf>
    <xf numFmtId="164" fontId="61" fillId="2" borderId="37" xfId="0" applyFont="true" applyBorder="true" applyAlignment="true" applyProtection="true">
      <alignment horizontal="center" vertical="top" textRotation="0" wrapText="false" indent="0" shrinkToFit="false"/>
      <protection locked="true" hidden="false"/>
    </xf>
    <xf numFmtId="164" fontId="61" fillId="2" borderId="38" xfId="0" applyFont="true" applyBorder="true" applyAlignment="true" applyProtection="true">
      <alignment horizontal="center" vertical="top" textRotation="0" wrapText="false" indent="0" shrinkToFit="false"/>
      <protection locked="true" hidden="false"/>
    </xf>
    <xf numFmtId="164" fontId="61" fillId="2" borderId="37" xfId="0" applyFont="true" applyBorder="true" applyAlignment="true" applyProtection="true">
      <alignment horizontal="center" vertical="top" textRotation="0" wrapText="true" indent="0" shrinkToFit="false"/>
      <protection locked="true" hidden="false"/>
    </xf>
    <xf numFmtId="164" fontId="39" fillId="2" borderId="37" xfId="0" applyFont="true" applyBorder="true" applyAlignment="true" applyProtection="true">
      <alignment horizontal="general" vertical="top" textRotation="0" wrapText="false" indent="0" shrinkToFit="false"/>
      <protection locked="true" hidden="false"/>
    </xf>
    <xf numFmtId="164" fontId="61" fillId="2" borderId="37" xfId="0" applyFont="true" applyBorder="true" applyAlignment="true" applyProtection="true">
      <alignment horizontal="general" vertical="top" textRotation="0" wrapText="false" indent="0" shrinkToFit="false"/>
      <protection locked="true" hidden="false"/>
    </xf>
    <xf numFmtId="164" fontId="61" fillId="2" borderId="39" xfId="0" applyFont="true" applyBorder="true" applyAlignment="true" applyProtection="true">
      <alignment horizontal="center" vertical="top" textRotation="0" wrapText="false" indent="0" shrinkToFit="false"/>
      <protection locked="true" hidden="false"/>
    </xf>
    <xf numFmtId="164" fontId="63" fillId="2" borderId="0" xfId="0" applyFont="true" applyBorder="false" applyAlignment="true" applyProtection="true">
      <alignment horizontal="general" vertical="top" textRotation="0" wrapText="false" indent="0" shrinkToFit="false"/>
      <protection locked="true" hidden="false"/>
    </xf>
    <xf numFmtId="165" fontId="4" fillId="2" borderId="0" xfId="20" applyFont="true" applyBorder="true" applyAlignment="true" applyProtection="true">
      <alignment horizontal="left" vertical="top" textRotation="0" wrapText="false" indent="0" shrinkToFit="false"/>
      <protection locked="true" hidden="false"/>
    </xf>
    <xf numFmtId="165" fontId="4" fillId="2" borderId="0" xfId="20" applyFont="true" applyBorder="true" applyAlignment="true" applyProtection="true">
      <alignment horizontal="left" vertical="top" textRotation="0" wrapText="true" indent="0" shrinkToFit="false"/>
      <protection locked="true" hidden="false"/>
    </xf>
    <xf numFmtId="164" fontId="45" fillId="0" borderId="0" xfId="0" applyFont="true" applyBorder="false" applyAlignment="true" applyProtection="true">
      <alignment horizontal="center" vertical="top" textRotation="0" wrapText="false" indent="0" shrinkToFit="false"/>
      <protection locked="true" hidden="false"/>
    </xf>
    <xf numFmtId="164" fontId="45" fillId="0" borderId="0" xfId="0" applyFont="true" applyBorder="false" applyAlignment="true" applyProtection="true">
      <alignment horizontal="general" vertical="top" textRotation="0" wrapText="false" indent="0" shrinkToFit="false"/>
      <protection locked="true" hidden="false"/>
    </xf>
    <xf numFmtId="164" fontId="64" fillId="3" borderId="0" xfId="0" applyFont="true" applyBorder="false" applyAlignment="true" applyProtection="true">
      <alignment horizontal="general" vertical="top" textRotation="0" wrapText="false" indent="0" shrinkToFit="false"/>
      <protection locked="true" hidden="false"/>
    </xf>
    <xf numFmtId="164" fontId="7" fillId="3" borderId="0" xfId="23" applyFont="true" applyBorder="true" applyAlignment="true" applyProtection="true">
      <alignment horizontal="left" vertical="top" textRotation="0" wrapText="false" indent="0" shrinkToFit="false"/>
      <protection locked="true" hidden="false"/>
    </xf>
    <xf numFmtId="164" fontId="64" fillId="0" borderId="0" xfId="0" applyFont="true" applyBorder="false" applyAlignment="true" applyProtection="true">
      <alignment horizontal="center" vertical="top" textRotation="0" wrapText="false" indent="0" shrinkToFit="false"/>
      <protection locked="true" hidden="false"/>
    </xf>
    <xf numFmtId="164" fontId="64" fillId="0" borderId="0" xfId="0" applyFont="true" applyBorder="false" applyAlignment="true" applyProtection="true">
      <alignment horizontal="general" vertical="top" textRotation="0" wrapText="false" indent="0" shrinkToFit="false"/>
      <protection locked="true" hidden="false"/>
    </xf>
    <xf numFmtId="164" fontId="59" fillId="0" borderId="40" xfId="0" applyFont="true" applyBorder="true" applyAlignment="true" applyProtection="true">
      <alignment horizontal="center" vertical="top" textRotation="0" wrapText="false" indent="0" shrinkToFit="false"/>
      <protection locked="true" hidden="false"/>
    </xf>
    <xf numFmtId="164" fontId="59" fillId="0" borderId="40" xfId="0" applyFont="true" applyBorder="true" applyAlignment="true" applyProtection="true">
      <alignment horizontal="left" vertical="top" textRotation="0" wrapText="true" indent="0" shrinkToFit="false"/>
      <protection locked="true" hidden="false"/>
    </xf>
    <xf numFmtId="177" fontId="59" fillId="8" borderId="40" xfId="0" applyFont="true" applyBorder="true" applyAlignment="true" applyProtection="true">
      <alignment horizontal="center" vertical="top" textRotation="0" wrapText="false" indent="0" shrinkToFit="false"/>
      <protection locked="true" hidden="false"/>
    </xf>
    <xf numFmtId="177" fontId="36" fillId="0" borderId="40" xfId="0" applyFont="true" applyBorder="true" applyAlignment="true" applyProtection="true">
      <alignment horizontal="center" vertical="top" textRotation="0" wrapText="false" indent="0" shrinkToFit="false"/>
      <protection locked="true" hidden="false"/>
    </xf>
    <xf numFmtId="164" fontId="65" fillId="0" borderId="0" xfId="0" applyFont="true" applyBorder="false" applyAlignment="true" applyProtection="true">
      <alignment horizontal="general" vertical="top" textRotation="0" wrapText="false" indent="0" shrinkToFit="false"/>
      <protection locked="true" hidden="false"/>
    </xf>
    <xf numFmtId="164" fontId="66" fillId="0" borderId="40" xfId="0" applyFont="true" applyBorder="true" applyAlignment="true" applyProtection="true">
      <alignment horizontal="left" vertical="top" textRotation="0" wrapText="true" indent="0" shrinkToFit="false"/>
      <protection locked="true" hidden="false"/>
    </xf>
    <xf numFmtId="177" fontId="0" fillId="0" borderId="0" xfId="0" applyFont="false" applyBorder="false" applyAlignment="true" applyProtection="true">
      <alignment horizontal="general" vertical="top" textRotation="0" wrapText="false" indent="0" shrinkToFit="false"/>
      <protection locked="true" hidden="false"/>
    </xf>
    <xf numFmtId="177" fontId="9" fillId="0" borderId="0" xfId="0" applyFont="true" applyBorder="false" applyAlignment="true" applyProtection="true">
      <alignment horizontal="general" vertical="top" textRotation="0" wrapText="false" indent="0" shrinkToFit="false"/>
      <protection locked="true" hidden="false"/>
    </xf>
    <xf numFmtId="164" fontId="44" fillId="0" borderId="0" xfId="0" applyFont="true" applyBorder="false" applyAlignment="true" applyProtection="true">
      <alignment horizontal="center" vertical="top" textRotation="0" wrapText="false" indent="0" shrinkToFit="false"/>
      <protection locked="true" hidden="false"/>
    </xf>
    <xf numFmtId="164" fontId="44" fillId="0" borderId="0" xfId="0" applyFont="true" applyBorder="false" applyAlignment="true" applyProtection="true">
      <alignment horizontal="general" vertical="top" textRotation="0" wrapText="false" indent="0" shrinkToFit="false"/>
      <protection locked="true" hidden="false"/>
    </xf>
    <xf numFmtId="177" fontId="67" fillId="3" borderId="0" xfId="0" applyFont="true" applyBorder="false" applyAlignment="true" applyProtection="true">
      <alignment horizontal="general" vertical="top" textRotation="0" wrapText="false" indent="0" shrinkToFit="false"/>
      <protection locked="true" hidden="false"/>
    </xf>
    <xf numFmtId="177" fontId="68" fillId="3" borderId="0" xfId="0" applyFont="true" applyBorder="false" applyAlignment="true" applyProtection="true">
      <alignment horizontal="general" vertical="top" textRotation="0" wrapText="false" indent="0" shrinkToFit="false"/>
      <protection locked="true" hidden="false"/>
    </xf>
    <xf numFmtId="164" fontId="67" fillId="0" borderId="0" xfId="0" applyFont="true" applyBorder="false" applyAlignment="true" applyProtection="true">
      <alignment horizontal="general" vertical="top" textRotation="0" wrapText="false" indent="0" shrinkToFit="false"/>
      <protection locked="true" hidden="false"/>
    </xf>
    <xf numFmtId="177" fontId="59" fillId="0" borderId="40" xfId="0" applyFont="true" applyBorder="true" applyAlignment="true" applyProtection="true">
      <alignment horizontal="center" vertical="top" textRotation="0" wrapText="false" indent="0" shrinkToFit="false"/>
      <protection locked="true" hidden="false"/>
    </xf>
    <xf numFmtId="164" fontId="6" fillId="3" borderId="0" xfId="22" applyFont="true" applyBorder="true" applyAlignment="true" applyProtection="true">
      <alignment horizontal="left" vertical="top" textRotation="0" wrapText="false" indent="0" shrinkToFit="false"/>
      <protection locked="true" hidden="false"/>
    </xf>
    <xf numFmtId="164" fontId="6" fillId="3" borderId="1" xfId="22" applyFont="true" applyBorder="false" applyAlignment="true" applyProtection="true">
      <alignment horizontal="left" vertical="top" textRotation="0" wrapText="false" indent="0"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7" fontId="0" fillId="0" borderId="0" xfId="0" applyFont="false" applyBorder="fals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true" indent="0" shrinkToFit="false"/>
      <protection locked="true" hidden="false"/>
    </xf>
    <xf numFmtId="164" fontId="9" fillId="0" borderId="0" xfId="0" applyFont="true" applyBorder="false" applyAlignment="true" applyProtection="true">
      <alignment horizontal="general" vertical="center" textRotation="0" wrapText="false" indent="0" shrinkToFit="false"/>
      <protection locked="true" hidden="false"/>
    </xf>
    <xf numFmtId="164" fontId="9" fillId="0" borderId="41" xfId="0" applyFont="true" applyBorder="true" applyAlignment="true" applyProtection="true">
      <alignment horizontal="center" vertical="center" textRotation="0" wrapText="false" indent="0" shrinkToFit="false"/>
      <protection locked="true" hidden="false"/>
    </xf>
    <xf numFmtId="164" fontId="9" fillId="0" borderId="41" xfId="0" applyFont="true" applyBorder="true" applyAlignment="true" applyProtection="true">
      <alignment horizontal="center" vertical="center" textRotation="0" wrapText="true" indent="0" shrinkToFit="false"/>
      <protection locked="true" hidden="false"/>
    </xf>
    <xf numFmtId="164" fontId="9" fillId="0" borderId="0" xfId="0" applyFont="true" applyBorder="false" applyAlignment="true" applyProtection="true">
      <alignment horizontal="center" vertical="center" textRotation="0" wrapText="true" indent="0" shrinkToFit="false"/>
      <protection locked="true" hidden="false"/>
    </xf>
    <xf numFmtId="167" fontId="9" fillId="0" borderId="0" xfId="0" applyFont="true" applyBorder="false" applyAlignment="true" applyProtection="true">
      <alignment horizontal="general" vertical="center" textRotation="0" wrapText="false" indent="0" shrinkToFit="false"/>
      <protection locked="true" hidden="false"/>
    </xf>
    <xf numFmtId="164" fontId="9" fillId="0" borderId="0" xfId="0" applyFont="true" applyBorder="false" applyAlignment="true" applyProtection="true">
      <alignment horizontal="general" vertical="center" textRotation="0" wrapText="true" indent="0" shrinkToFit="false"/>
      <protection locked="true" hidden="false"/>
    </xf>
    <xf numFmtId="164" fontId="9" fillId="5" borderId="0" xfId="0" applyFont="true" applyBorder="false" applyAlignment="true" applyProtection="true">
      <alignment horizontal="center" vertical="center" textRotation="0" wrapText="true" indent="0" shrinkToFit="false"/>
      <protection locked="true" hidden="false"/>
    </xf>
    <xf numFmtId="167" fontId="9" fillId="0" borderId="0" xfId="0" applyFont="true" applyBorder="false" applyAlignment="true" applyProtection="true">
      <alignment horizontal="center" vertical="center" textRotation="0" wrapText="true" indent="0" shrinkToFit="false"/>
      <protection locked="true" hidden="false"/>
    </xf>
    <xf numFmtId="167" fontId="44" fillId="0" borderId="0" xfId="0" applyFont="true" applyBorder="false" applyAlignment="true" applyProtection="true">
      <alignment horizontal="general" vertical="center" textRotation="0" wrapText="false" indent="0" shrinkToFit="false"/>
      <protection locked="true" hidden="false"/>
    </xf>
    <xf numFmtId="164" fontId="44" fillId="0" borderId="0" xfId="0" applyFont="true" applyBorder="false" applyAlignment="true" applyProtection="true">
      <alignment horizontal="center" vertical="center" textRotation="0" wrapText="true" indent="0" shrinkToFit="false"/>
      <protection locked="true" hidden="false"/>
    </xf>
    <xf numFmtId="164" fontId="44" fillId="0" borderId="0" xfId="0" applyFont="true" applyBorder="false" applyAlignment="true" applyProtection="true">
      <alignment horizontal="center" vertical="center" textRotation="0" wrapText="false" indent="0" shrinkToFit="false"/>
      <protection locked="true" hidden="false"/>
    </xf>
  </cellXfs>
  <cellStyles count="13">
    <cellStyle name="Normal" xfId="0" builtinId="0"/>
    <cellStyle name="Comma" xfId="15" builtinId="3"/>
    <cellStyle name="Comma [0]" xfId="16" builtinId="6"/>
    <cellStyle name="Currency" xfId="17" builtinId="4"/>
    <cellStyle name="Currency [0]" xfId="18" builtinId="7"/>
    <cellStyle name="Percent" xfId="19" builtinId="5"/>
    <cellStyle name="formato_capitulo" xfId="20"/>
    <cellStyle name="formato_epigrafe" xfId="21"/>
    <cellStyle name="formato_sub_subcapitulo" xfId="22"/>
    <cellStyle name="formato_subcapitulo" xfId="23"/>
    <cellStyle name="Normal 2" xfId="24"/>
    <cellStyle name="resaltado_amarillo" xfId="25"/>
    <cellStyle name="Texto explicativo 2" xfId="26"/>
  </cellStyles>
  <dxfs count="9">
    <dxf>
      <fill>
        <patternFill patternType="solid">
          <fgColor rgb="FF3399FF"/>
        </patternFill>
      </fill>
    </dxf>
    <dxf>
      <fill>
        <patternFill patternType="solid">
          <fgColor rgb="FF66CCFF"/>
        </patternFill>
      </fill>
    </dxf>
    <dxf>
      <fill>
        <patternFill patternType="solid">
          <fgColor rgb="00FFFFFF"/>
        </patternFill>
      </fill>
    </dxf>
    <dxf>
      <fill>
        <patternFill patternType="solid">
          <fgColor rgb="FF800000"/>
        </patternFill>
      </fill>
    </dxf>
    <dxf>
      <fill>
        <patternFill patternType="solid">
          <fgColor rgb="FFFFFFFF"/>
        </patternFill>
      </fill>
    </dxf>
    <dxf>
      <fill>
        <patternFill patternType="solid">
          <fgColor rgb="FF000000"/>
          <bgColor rgb="FFFFFFFF"/>
        </patternFill>
      </fill>
    </dxf>
    <dxf>
      <font>
        <name val="Calibri"/>
        <charset val="1"/>
        <family val="0"/>
        <b val="1"/>
        <color rgb="FF000000"/>
        <sz val="11"/>
      </font>
      <numFmt numFmtId="164" formatCode="General"/>
      <fill>
        <patternFill>
          <bgColor rgb="FFFFD74C"/>
        </patternFill>
      </fill>
    </dxf>
    <dxf>
      <font>
        <name val="Calibri"/>
        <charset val="1"/>
        <family val="0"/>
        <b val="1"/>
        <color rgb="FF000000"/>
        <sz val="11"/>
      </font>
      <numFmt numFmtId="164" formatCode="General"/>
      <fill>
        <patternFill>
          <bgColor rgb="FFFFD74C"/>
        </patternFill>
      </fill>
    </dxf>
    <dxf>
      <font>
        <name val="Calibri"/>
        <charset val="1"/>
        <family val="0"/>
        <b val="1"/>
        <color rgb="FF000000"/>
        <sz val="11"/>
      </font>
      <numFmt numFmtId="164" formatCode="General"/>
      <fill>
        <patternFill>
          <bgColor rgb="FFFFD74C"/>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FF3333"/>
      <rgbColor rgb="FFFAFAFA"/>
      <rgbColor rgb="FFDBFFFF"/>
      <rgbColor rgb="FF660066"/>
      <rgbColor rgb="FFFF8080"/>
      <rgbColor rgb="FF0066FF"/>
      <rgbColor rgb="FFD9D9D9"/>
      <rgbColor rgb="FF000080"/>
      <rgbColor rgb="FFFF00FF"/>
      <rgbColor rgb="FFFFF200"/>
      <rgbColor rgb="FF00FFFF"/>
      <rgbColor rgb="FF800080"/>
      <rgbColor rgb="FF800000"/>
      <rgbColor rgb="FF008080"/>
      <rgbColor rgb="FF0000FF"/>
      <rgbColor rgb="FF3399FF"/>
      <rgbColor rgb="FFCCFFFF"/>
      <rgbColor rgb="FFCCFFCC"/>
      <rgbColor rgb="FFFFFF99"/>
      <rgbColor rgb="FFAADCF7"/>
      <rgbColor rgb="FFFF99CC"/>
      <rgbColor rgb="FFDC85E9"/>
      <rgbColor rgb="FFF2CBF8"/>
      <rgbColor rgb="FF6666FF"/>
      <rgbColor rgb="FF66CCFF"/>
      <rgbColor rgb="FF99CC00"/>
      <rgbColor rgb="FFFFD74C"/>
      <rgbColor rgb="FFFF9900"/>
      <rgbColor rgb="FFFF6600"/>
      <rgbColor rgb="FF666699"/>
      <rgbColor rgb="FF969696"/>
      <rgbColor rgb="FF023F62"/>
      <rgbColor rgb="FF43C330"/>
      <rgbColor rgb="FF003300"/>
      <rgbColor rgb="FF333300"/>
      <rgbColor rgb="FFCE181E"/>
      <rgbColor rgb="FF993366"/>
      <rgbColor rgb="FF333399"/>
      <rgbColor rgb="FF40404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
</Relationships>
</file>

<file path=xl/drawings/_rels/drawing2.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
</Relationships>
</file>

<file path=xl/drawings/_rels/drawing3.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99000</xdr:colOff>
      <xdr:row>1</xdr:row>
      <xdr:rowOff>0</xdr:rowOff>
    </xdr:from>
    <xdr:to>
      <xdr:col>1</xdr:col>
      <xdr:colOff>1504080</xdr:colOff>
      <xdr:row>4</xdr:row>
      <xdr:rowOff>31320</xdr:rowOff>
    </xdr:to>
    <xdr:pic>
      <xdr:nvPicPr>
        <xdr:cNvPr id="0" name="logo_ALAGAL_nota_explicativa" descr=""/>
        <xdr:cNvPicPr/>
      </xdr:nvPicPr>
      <xdr:blipFill>
        <a:blip r:embed="rId1"/>
        <a:stretch/>
      </xdr:blipFill>
      <xdr:spPr>
        <a:xfrm>
          <a:off x="7520400" y="175320"/>
          <a:ext cx="1405080" cy="556920"/>
        </a:xfrm>
        <a:prstGeom prst="rect">
          <a:avLst/>
        </a:prstGeom>
        <a:ln w="12600">
          <a:noFill/>
        </a:ln>
      </xdr:spPr>
    </xdr:pic>
    <xdr:clientData/>
  </xdr:twoCellAnchor>
  <xdr:twoCellAnchor editAs="oneCell">
    <xdr:from>
      <xdr:col>0</xdr:col>
      <xdr:colOff>0</xdr:colOff>
      <xdr:row>1</xdr:row>
      <xdr:rowOff>0</xdr:rowOff>
    </xdr:from>
    <xdr:to>
      <xdr:col>0</xdr:col>
      <xdr:colOff>4561560</xdr:colOff>
      <xdr:row>3</xdr:row>
      <xdr:rowOff>128880</xdr:rowOff>
    </xdr:to>
    <xdr:pic>
      <xdr:nvPicPr>
        <xdr:cNvPr id="1" name="Imagen 4" descr=""/>
        <xdr:cNvPicPr/>
      </xdr:nvPicPr>
      <xdr:blipFill>
        <a:blip r:embed="rId2"/>
        <a:stretch/>
      </xdr:blipFill>
      <xdr:spPr>
        <a:xfrm>
          <a:off x="0" y="175320"/>
          <a:ext cx="4561560" cy="4795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15</xdr:col>
      <xdr:colOff>326520</xdr:colOff>
      <xdr:row>3</xdr:row>
      <xdr:rowOff>20880</xdr:rowOff>
    </xdr:from>
    <xdr:to>
      <xdr:col>15</xdr:col>
      <xdr:colOff>563400</xdr:colOff>
      <xdr:row>4</xdr:row>
      <xdr:rowOff>6480</xdr:rowOff>
    </xdr:to>
    <xdr:sp>
      <xdr:nvSpPr>
        <xdr:cNvPr id="2" name="CustomShape 1"/>
        <xdr:cNvSpPr/>
      </xdr:nvSpPr>
      <xdr:spPr>
        <a:xfrm>
          <a:off x="12681720" y="561960"/>
          <a:ext cx="236880" cy="160920"/>
        </a:xfrm>
        <a:custGeom>
          <a:avLst/>
          <a:gdLst>
            <a:gd name="textAreaLeft" fmla="*/ 0 w 236880"/>
            <a:gd name="textAreaRight" fmla="*/ 237600 w 236880"/>
            <a:gd name="textAreaTop" fmla="*/ 0 h 160920"/>
            <a:gd name="textAreaBottom" fmla="*/ 161640 h 160920"/>
          </a:gdLst>
          <a:ahLst/>
          <a:rect l="textAreaLeft" t="textAreaTop" r="textAreaRight" b="textAreaBottom"/>
          <a:pathLst>
            <a:path w="663" h="452">
              <a:moveTo>
                <a:pt x="165" y="0"/>
              </a:moveTo>
              <a:lnTo>
                <a:pt x="165" y="225"/>
              </a:lnTo>
              <a:lnTo>
                <a:pt x="0" y="225"/>
              </a:lnTo>
              <a:lnTo>
                <a:pt x="331" y="451"/>
              </a:lnTo>
              <a:lnTo>
                <a:pt x="662" y="225"/>
              </a:lnTo>
              <a:lnTo>
                <a:pt x="496" y="225"/>
              </a:lnTo>
              <a:lnTo>
                <a:pt x="496" y="0"/>
              </a:lnTo>
              <a:lnTo>
                <a:pt x="165" y="0"/>
              </a:lnTo>
            </a:path>
          </a:pathLst>
        </a:custGeom>
        <a:solidFill>
          <a:srgbClr val="5b9bd5"/>
        </a:solidFill>
        <a:ln w="12600">
          <a:solidFill>
            <a:srgbClr val="41719c"/>
          </a:solidFill>
          <a:miter/>
        </a:ln>
      </xdr:spPr>
      <xdr:style>
        <a:lnRef idx="0"/>
        <a:fillRef idx="0"/>
        <a:effectRef idx="0"/>
        <a:fontRef idx="minor"/>
      </xdr:style>
    </xdr:sp>
    <xdr:clientData/>
  </xdr:twoCellAnchor>
  <xdr:twoCellAnchor editAs="oneCell">
    <xdr:from>
      <xdr:col>4</xdr:col>
      <xdr:colOff>3228120</xdr:colOff>
      <xdr:row>1</xdr:row>
      <xdr:rowOff>10440</xdr:rowOff>
    </xdr:from>
    <xdr:to>
      <xdr:col>7</xdr:col>
      <xdr:colOff>188280</xdr:colOff>
      <xdr:row>4</xdr:row>
      <xdr:rowOff>41400</xdr:rowOff>
    </xdr:to>
    <xdr:pic>
      <xdr:nvPicPr>
        <xdr:cNvPr id="3" name="logo_ALAGAL_nota_explicativa" descr=""/>
        <xdr:cNvPicPr/>
      </xdr:nvPicPr>
      <xdr:blipFill>
        <a:blip r:embed="rId1"/>
        <a:stretch/>
      </xdr:blipFill>
      <xdr:spPr>
        <a:xfrm>
          <a:off x="6883200" y="200880"/>
          <a:ext cx="1652040" cy="556920"/>
        </a:xfrm>
        <a:prstGeom prst="rect">
          <a:avLst/>
        </a:prstGeom>
        <a:ln w="12600">
          <a:noFill/>
        </a:ln>
      </xdr:spPr>
    </xdr:pic>
    <xdr:clientData/>
  </xdr:twoCellAnchor>
  <xdr:twoCellAnchor editAs="oneCell">
    <xdr:from>
      <xdr:col>0</xdr:col>
      <xdr:colOff>0</xdr:colOff>
      <xdr:row>1</xdr:row>
      <xdr:rowOff>14040</xdr:rowOff>
    </xdr:from>
    <xdr:to>
      <xdr:col>4</xdr:col>
      <xdr:colOff>1100880</xdr:colOff>
      <xdr:row>3</xdr:row>
      <xdr:rowOff>142920</xdr:rowOff>
    </xdr:to>
    <xdr:pic>
      <xdr:nvPicPr>
        <xdr:cNvPr id="4" name="Imagen 8" descr=""/>
        <xdr:cNvPicPr/>
      </xdr:nvPicPr>
      <xdr:blipFill>
        <a:blip r:embed="rId2"/>
        <a:stretch/>
      </xdr:blipFill>
      <xdr:spPr>
        <a:xfrm>
          <a:off x="0" y="204480"/>
          <a:ext cx="4755960" cy="479520"/>
        </a:xfrm>
        <a:prstGeom prst="rect">
          <a:avLst/>
        </a:prstGeom>
        <a:ln w="0">
          <a:noFill/>
        </a:ln>
      </xdr:spPr>
    </xdr:pic>
    <xdr:clientData/>
  </xdr:twoCellAnchor>
  <xdr:twoCellAnchor editAs="oneCell">
    <xdr:from>
      <xdr:col>12</xdr:col>
      <xdr:colOff>33120</xdr:colOff>
      <xdr:row>3</xdr:row>
      <xdr:rowOff>20880</xdr:rowOff>
    </xdr:from>
    <xdr:to>
      <xdr:col>12</xdr:col>
      <xdr:colOff>254880</xdr:colOff>
      <xdr:row>4</xdr:row>
      <xdr:rowOff>3240</xdr:rowOff>
    </xdr:to>
    <xdr:sp>
      <xdr:nvSpPr>
        <xdr:cNvPr id="5" name="CustomShape 1"/>
        <xdr:cNvSpPr/>
      </xdr:nvSpPr>
      <xdr:spPr>
        <a:xfrm>
          <a:off x="10595880" y="561960"/>
          <a:ext cx="221760" cy="157680"/>
        </a:xfrm>
        <a:custGeom>
          <a:avLst/>
          <a:gdLst>
            <a:gd name="textAreaLeft" fmla="*/ 0 w 221760"/>
            <a:gd name="textAreaRight" fmla="*/ 222480 w 221760"/>
            <a:gd name="textAreaTop" fmla="*/ 0 h 157680"/>
            <a:gd name="textAreaBottom" fmla="*/ 158400 h 157680"/>
          </a:gdLst>
          <a:ahLst/>
          <a:rect l="textAreaLeft" t="textAreaTop" r="textAreaRight" b="textAreaBottom"/>
          <a:pathLst>
            <a:path w="663" h="452">
              <a:moveTo>
                <a:pt x="165" y="0"/>
              </a:moveTo>
              <a:lnTo>
                <a:pt x="165" y="225"/>
              </a:lnTo>
              <a:lnTo>
                <a:pt x="0" y="225"/>
              </a:lnTo>
              <a:lnTo>
                <a:pt x="331" y="451"/>
              </a:lnTo>
              <a:lnTo>
                <a:pt x="662" y="225"/>
              </a:lnTo>
              <a:lnTo>
                <a:pt x="496" y="225"/>
              </a:lnTo>
              <a:lnTo>
                <a:pt x="496" y="0"/>
              </a:lnTo>
              <a:lnTo>
                <a:pt x="165" y="0"/>
              </a:lnTo>
            </a:path>
          </a:pathLst>
        </a:custGeom>
        <a:solidFill>
          <a:srgbClr val="5b9bd5"/>
        </a:solidFill>
        <a:ln w="12600">
          <a:solidFill>
            <a:srgbClr val="41719c"/>
          </a:solidFill>
          <a:miter/>
        </a:ln>
      </xdr:spPr>
      <xdr:style>
        <a:lnRef idx="0"/>
        <a:fillRef idx="0"/>
        <a:effectRef idx="0"/>
        <a:fontRef idx="minor"/>
      </xdr:style>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5</xdr:col>
      <xdr:colOff>331200</xdr:colOff>
      <xdr:row>0</xdr:row>
      <xdr:rowOff>104760</xdr:rowOff>
    </xdr:from>
    <xdr:to>
      <xdr:col>7</xdr:col>
      <xdr:colOff>21960</xdr:colOff>
      <xdr:row>3</xdr:row>
      <xdr:rowOff>90000</xdr:rowOff>
    </xdr:to>
    <xdr:pic>
      <xdr:nvPicPr>
        <xdr:cNvPr id="6" name="logo_ALAGAL_nota_explicativa" descr=""/>
        <xdr:cNvPicPr/>
      </xdr:nvPicPr>
      <xdr:blipFill>
        <a:blip r:embed="rId1"/>
        <a:stretch/>
      </xdr:blipFill>
      <xdr:spPr>
        <a:xfrm>
          <a:off x="8406360" y="104760"/>
          <a:ext cx="1502640" cy="556920"/>
        </a:xfrm>
        <a:prstGeom prst="rect">
          <a:avLst/>
        </a:prstGeom>
        <a:ln w="12600">
          <a:noFill/>
        </a:ln>
      </xdr:spPr>
    </xdr:pic>
    <xdr:clientData/>
  </xdr:twoCellAnchor>
  <xdr:twoCellAnchor editAs="oneCell">
    <xdr:from>
      <xdr:col>0</xdr:col>
      <xdr:colOff>0</xdr:colOff>
      <xdr:row>0</xdr:row>
      <xdr:rowOff>118080</xdr:rowOff>
    </xdr:from>
    <xdr:to>
      <xdr:col>2</xdr:col>
      <xdr:colOff>3837600</xdr:colOff>
      <xdr:row>3</xdr:row>
      <xdr:rowOff>25920</xdr:rowOff>
    </xdr:to>
    <xdr:pic>
      <xdr:nvPicPr>
        <xdr:cNvPr id="7" name="Imagen 5" descr=""/>
        <xdr:cNvPicPr/>
      </xdr:nvPicPr>
      <xdr:blipFill>
        <a:blip r:embed="rId2"/>
        <a:stretch/>
      </xdr:blipFill>
      <xdr:spPr>
        <a:xfrm>
          <a:off x="0" y="118080"/>
          <a:ext cx="4602600" cy="47952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FF00"/>
    <pageSetUpPr fitToPage="true"/>
  </sheetPr>
  <dimension ref="A1:BL40"/>
  <sheetViews>
    <sheetView showFormulas="false" showGridLines="true" showRowColHeaders="true" showZeros="true" rightToLeft="false" tabSelected="false" showOutlineSymbols="true" defaultGridColor="true" view="normal" topLeftCell="A1" colorId="64" zoomScale="115" zoomScaleNormal="115" zoomScalePageLayoutView="100" workbookViewId="0">
      <selection pane="topLeft" activeCell="D22" activeCellId="0" sqref="D22"/>
    </sheetView>
  </sheetViews>
  <sheetFormatPr defaultColWidth="11.58984375" defaultRowHeight="12.8" zeroHeight="false" outlineLevelRow="0" outlineLevelCol="0"/>
  <cols>
    <col collapsed="false" customWidth="true" hidden="false" outlineLevel="0" max="1" min="1" style="1" width="105.29"/>
    <col collapsed="false" customWidth="true" hidden="false" outlineLevel="0" max="2" min="2" style="1" width="22.73"/>
    <col collapsed="false" customWidth="true" hidden="false" outlineLevel="0" max="4" min="3" style="1" width="10.42"/>
    <col collapsed="false" customWidth="true" hidden="false" outlineLevel="0" max="5" min="5" style="1" width="15"/>
    <col collapsed="false" customWidth="true" hidden="false" outlineLevel="0" max="64" min="6" style="1" width="10.42"/>
  </cols>
  <sheetData>
    <row r="1" customFormat="false" ht="13.8" hidden="false" customHeight="false" outlineLevel="0" collapsed="false">
      <c r="A1" s="2"/>
      <c r="B1" s="2"/>
    </row>
    <row r="2" customFormat="false" ht="13.8" hidden="false" customHeight="false" outlineLevel="0" collapsed="false">
      <c r="A2" s="3"/>
    </row>
    <row r="3" customFormat="false" ht="13.8" hidden="false" customHeight="false" outlineLevel="0" collapsed="false">
      <c r="A3" s="3"/>
    </row>
    <row r="4" customFormat="false" ht="13.8" hidden="false" customHeight="false" outlineLevel="0" collapsed="false">
      <c r="A4" s="3"/>
    </row>
    <row r="5" customFormat="false" ht="22.05" hidden="false" customHeight="false" outlineLevel="0" collapsed="false">
      <c r="A5" s="4" t="s">
        <v>0</v>
      </c>
      <c r="B5" s="4"/>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row>
    <row r="6" customFormat="false" ht="15.75" hidden="false" customHeight="true" outlineLevel="0" collapsed="false">
      <c r="A6" s="6" t="s">
        <v>1</v>
      </c>
      <c r="B6" s="6"/>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row>
    <row r="7" customFormat="false" ht="24" hidden="false" customHeight="false" outlineLevel="0" collapsed="false">
      <c r="A7" s="7" t="s">
        <v>2</v>
      </c>
      <c r="B7" s="7"/>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row>
    <row r="8" customFormat="false" ht="23.25" hidden="false" customHeight="true" outlineLevel="0" collapsed="false">
      <c r="A8" s="9" t="s">
        <v>3</v>
      </c>
      <c r="B8" s="10"/>
      <c r="C8" s="11" t="str">
        <f aca="false">IF(B8&lt;=0,"&lt;=O PBL NON PODE SER NEGATIVO OU NULO",IF(ISNUMBER(B8),"","&lt;=O PBL DEBE SER UN NÚMERO"))</f>
        <v>&lt;=O PBL NON PODE SER NEGATIVO OU NULO</v>
      </c>
      <c r="D8" s="8"/>
      <c r="E8" s="12"/>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row>
    <row r="9" customFormat="false" ht="15" hidden="false" customHeight="false" outlineLevel="0" collapsed="false">
      <c r="A9" s="13"/>
      <c r="B9" s="14"/>
      <c r="C9" s="11"/>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row>
    <row r="10" customFormat="false" ht="15" hidden="false" customHeight="false" outlineLevel="0" collapsed="false">
      <c r="A10" s="15" t="s">
        <v>4</v>
      </c>
      <c r="B10" s="15"/>
      <c r="C10" s="11"/>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row>
    <row r="11" customFormat="false" ht="57.1" hidden="false" customHeight="false" outlineLevel="0" collapsed="false">
      <c r="A11" s="16" t="s">
        <v>5</v>
      </c>
      <c r="B11" s="7"/>
      <c r="C11" s="17"/>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row>
    <row r="12" customFormat="false" ht="15" hidden="false" customHeight="false" outlineLevel="0" collapsed="false">
      <c r="A12" s="18" t="s">
        <v>6</v>
      </c>
      <c r="B12" s="19"/>
      <c r="C12" s="17"/>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row>
    <row r="13" customFormat="false" ht="42.15" hidden="false" customHeight="true" outlineLevel="0" collapsed="false">
      <c r="A13" s="7" t="s">
        <v>7</v>
      </c>
      <c r="B13" s="7"/>
      <c r="C13" s="17"/>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row>
    <row r="14" customFormat="false" ht="23.85" hidden="false" customHeight="false" outlineLevel="0" collapsed="false">
      <c r="A14" s="18" t="s">
        <v>8</v>
      </c>
      <c r="B14" s="19"/>
      <c r="C14" s="17"/>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row>
    <row r="15" customFormat="false" ht="24.65" hidden="false" customHeight="false" outlineLevel="0" collapsed="false">
      <c r="A15" s="7" t="s">
        <v>9</v>
      </c>
      <c r="B15" s="7"/>
      <c r="C15" s="17"/>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customFormat="false" ht="22.05" hidden="false" customHeight="false" outlineLevel="0" collapsed="false">
      <c r="A16" s="20" t="s">
        <v>10</v>
      </c>
      <c r="B16" s="21" t="n">
        <v>0.3</v>
      </c>
      <c r="C16" s="11" t="str">
        <f aca="false">IF(B16&lt;=0,"&lt;=A porcentaxe debe ser maior que 0",IF(ISNUMBER(B16),"","&lt;=A porcentaxe debe ser un número"))</f>
        <v/>
      </c>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row>
    <row r="17" customFormat="false" ht="15" hidden="false" customHeight="false" outlineLevel="0" collapsed="false">
      <c r="A17" s="13"/>
      <c r="B17" s="14"/>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row>
    <row r="18" customFormat="false" ht="15" hidden="false" customHeight="false" outlineLevel="0" collapsed="false">
      <c r="A18" s="15" t="s">
        <v>11</v>
      </c>
      <c r="B18" s="15"/>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customFormat="false" ht="24" hidden="false" customHeight="false" outlineLevel="0" collapsed="false">
      <c r="A19" s="22" t="s">
        <v>12</v>
      </c>
      <c r="B19" s="22"/>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row>
    <row r="20" customFormat="false" ht="15" hidden="false" customHeight="false" outlineLevel="0" collapsed="false">
      <c r="A20" s="23"/>
      <c r="B20" s="24"/>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row>
    <row r="21" customFormat="false" ht="15" hidden="false" customHeight="false" outlineLevel="0" collapsed="false">
      <c r="A21" s="15" t="s">
        <v>13</v>
      </c>
      <c r="B21" s="15"/>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customFormat="false" ht="15" hidden="false" customHeight="false" outlineLevel="0" collapsed="false">
      <c r="A22" s="16" t="s">
        <v>14</v>
      </c>
      <c r="B22" s="7"/>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row>
    <row r="23" customFormat="false" ht="24" hidden="false" customHeight="false" outlineLevel="0" collapsed="false">
      <c r="A23" s="7" t="s">
        <v>15</v>
      </c>
      <c r="B23" s="7"/>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row>
    <row r="24" customFormat="false" ht="24" hidden="false" customHeight="false" outlineLevel="0" collapsed="false">
      <c r="A24" s="7" t="s">
        <v>16</v>
      </c>
      <c r="B24" s="7"/>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row>
    <row r="25" customFormat="false" ht="24" hidden="false" customHeight="false" outlineLevel="0" collapsed="false">
      <c r="A25" s="22" t="s">
        <v>17</v>
      </c>
      <c r="B25" s="22"/>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row>
    <row r="26" customFormat="false" ht="15" hidden="false" customHeight="false" outlineLevel="0" collapsed="false">
      <c r="A26" s="14"/>
      <c r="B26" s="14"/>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row>
    <row r="27" customFormat="false" ht="15" hidden="false" customHeight="false" outlineLevel="0" collapsed="false">
      <c r="A27" s="15" t="s">
        <v>18</v>
      </c>
      <c r="B27" s="15"/>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row>
    <row r="28" customFormat="false" ht="35" hidden="false" customHeight="false" outlineLevel="0" collapsed="false">
      <c r="A28" s="7" t="s">
        <v>19</v>
      </c>
      <c r="B28" s="7"/>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row>
    <row r="29" customFormat="false" ht="24" hidden="false" customHeight="false" outlineLevel="0" collapsed="false">
      <c r="A29" s="7" t="s">
        <v>20</v>
      </c>
      <c r="B29" s="7"/>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row>
    <row r="30" customFormat="false" ht="15" hidden="false" customHeight="false" outlineLevel="0" collapsed="false">
      <c r="A30" s="7" t="s">
        <v>21</v>
      </c>
      <c r="B30" s="7"/>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row>
    <row r="31" customFormat="false" ht="15" hidden="false" customHeight="false" outlineLevel="0" collapsed="false">
      <c r="A31" s="7" t="s">
        <v>22</v>
      </c>
      <c r="B31" s="7"/>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row>
    <row r="32" customFormat="false" ht="15" hidden="false" customHeight="false" outlineLevel="0" collapsed="false">
      <c r="A32" s="7" t="s">
        <v>23</v>
      </c>
      <c r="B32" s="7"/>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row>
    <row r="33" customFormat="false" ht="15" hidden="false" customHeight="false" outlineLevel="0" collapsed="false">
      <c r="A33" s="7" t="s">
        <v>24</v>
      </c>
      <c r="B33" s="7"/>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row>
    <row r="34" customFormat="false" ht="24" hidden="false" customHeight="false" outlineLevel="0" collapsed="false">
      <c r="A34" s="7" t="s">
        <v>25</v>
      </c>
      <c r="B34" s="7"/>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row>
    <row r="35" customFormat="false" ht="35" hidden="false" customHeight="false" outlineLevel="0" collapsed="false">
      <c r="A35" s="7" t="s">
        <v>26</v>
      </c>
      <c r="B35" s="7"/>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row>
    <row r="36" customFormat="false" ht="15" hidden="false" customHeight="false" outlineLevel="0" collapsed="false">
      <c r="A36" s="7" t="s">
        <v>27</v>
      </c>
      <c r="B36" s="7"/>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row>
    <row r="37" customFormat="false" ht="15" hidden="false" customHeight="false" outlineLevel="0" collapsed="false">
      <c r="A37" s="24"/>
      <c r="B37" s="24"/>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row>
    <row r="38" customFormat="false" ht="15" hidden="false" customHeight="false" outlineLevel="0" collapsed="false">
      <c r="A38" s="15" t="s">
        <v>28</v>
      </c>
      <c r="B38" s="1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row>
    <row r="39" customFormat="false" ht="15" hidden="false" customHeight="false" outlineLevel="0" collapsed="false">
      <c r="A39" s="22" t="s">
        <v>29</v>
      </c>
      <c r="B39" s="22"/>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row>
    <row r="40" customFormat="false" ht="15" hidden="false" customHeight="false" outlineLevel="0" collapsed="false">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row>
  </sheetData>
  <mergeCells count="2">
    <mergeCell ref="A1:B1"/>
    <mergeCell ref="A5:B5"/>
  </mergeCells>
  <printOptions headings="false" gridLines="false" gridLinesSet="true" horizontalCentered="false" verticalCentered="false"/>
  <pageMargins left="0.7875" right="0.7875" top="0.7875" bottom="0.954166666666667" header="0.511811023622047" footer="0.7875"/>
  <pageSetup paperSize="9" scale="100" fitToWidth="1" fitToHeight="1" pageOrder="downThenOver" orientation="portrait" blackAndWhite="false" draft="false" cellComments="none" horizontalDpi="300" verticalDpi="300" copies="1"/>
  <headerFooter differentFirst="false" differentOddEven="false">
    <oddHeader/>
    <oddFooter>&amp;C&amp;12Página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J552"/>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A5" activeCellId="0" sqref="A5"/>
    </sheetView>
  </sheetViews>
  <sheetFormatPr defaultColWidth="9.72265625" defaultRowHeight="13.8" zeroHeight="false" outlineLevelRow="0" outlineLevelCol="0"/>
  <cols>
    <col collapsed="false" customWidth="true" hidden="false" outlineLevel="0" max="1" min="1" style="25" width="17.86"/>
    <col collapsed="false" customWidth="true" hidden="false" outlineLevel="0" max="2" min="2" style="25" width="14.01"/>
    <col collapsed="false" customWidth="true" hidden="false" outlineLevel="0" max="3" min="3" style="26" width="11.57"/>
    <col collapsed="false" customWidth="true" hidden="false" outlineLevel="0" max="4" min="4" style="25" width="8.42"/>
    <col collapsed="false" customWidth="true" hidden="false" outlineLevel="0" max="5" min="5" style="27" width="48.57"/>
    <col collapsed="false" customWidth="true" hidden="false" outlineLevel="0" max="9" min="6" style="28" width="9"/>
    <col collapsed="false" customWidth="true" hidden="true" outlineLevel="0" max="10" min="10" style="28" width="11.29"/>
    <col collapsed="false" customWidth="true" hidden="false" outlineLevel="0" max="11" min="11" style="29" width="7"/>
    <col collapsed="false" customWidth="true" hidden="false" outlineLevel="0" max="12" min="12" style="28" width="6.43"/>
    <col collapsed="false" customWidth="true" hidden="false" outlineLevel="0" max="13" min="13" style="30" width="9.29"/>
    <col collapsed="false" customWidth="true" hidden="false" outlineLevel="0" max="14" min="14" style="31" width="9.58"/>
    <col collapsed="false" customWidth="true" hidden="false" outlineLevel="0" max="15" min="15" style="28" width="6.57"/>
    <col collapsed="false" customWidth="true" hidden="false" outlineLevel="0" max="16" min="16" style="30" width="9.42"/>
    <col collapsed="false" customWidth="true" hidden="false" outlineLevel="0" max="17" min="17" style="31" width="11.57"/>
    <col collapsed="false" customWidth="true" hidden="false" outlineLevel="0" max="18" min="18" style="32" width="65.7"/>
    <col collapsed="false" customWidth="true" hidden="false" outlineLevel="0" max="19" min="19" style="33" width="71.14"/>
    <col collapsed="false" customWidth="true" hidden="false" outlineLevel="0" max="20" min="20" style="33" width="8.71"/>
    <col collapsed="false" customWidth="true" hidden="false" outlineLevel="0" max="21" min="21" style="34" width="44.99"/>
    <col collapsed="false" customWidth="true" hidden="false" outlineLevel="0" max="28" min="22" style="33" width="8.71"/>
    <col collapsed="false" customWidth="false" hidden="false" outlineLevel="0" max="1018" min="29" style="35" width="9.71"/>
    <col collapsed="false" customWidth="true" hidden="false" outlineLevel="0" max="1024" min="1023" style="33" width="11.57"/>
  </cols>
  <sheetData>
    <row r="1" customFormat="false" ht="15" hidden="false" customHeight="true" outlineLevel="0" collapsed="false">
      <c r="A1" s="36"/>
      <c r="B1" s="36"/>
      <c r="D1" s="35"/>
      <c r="F1" s="37"/>
      <c r="G1" s="37"/>
      <c r="H1" s="37"/>
      <c r="K1" s="38" t="s">
        <v>30</v>
      </c>
      <c r="L1" s="38"/>
      <c r="M1" s="38"/>
      <c r="N1" s="38"/>
      <c r="O1" s="39" t="s">
        <v>31</v>
      </c>
      <c r="P1" s="39"/>
      <c r="Q1" s="39"/>
      <c r="U1" s="40"/>
      <c r="V1" s="40"/>
      <c r="W1" s="40"/>
    </row>
    <row r="2" customFormat="false" ht="13.8" hidden="false" customHeight="false" outlineLevel="0" collapsed="false">
      <c r="A2" s="36"/>
      <c r="F2" s="37"/>
      <c r="G2" s="37"/>
      <c r="H2" s="37"/>
      <c r="K2" s="38"/>
      <c r="L2" s="38"/>
      <c r="M2" s="38"/>
      <c r="N2" s="38"/>
      <c r="O2" s="39"/>
      <c r="P2" s="39"/>
      <c r="Q2" s="39"/>
      <c r="S2" s="41"/>
      <c r="T2" s="41"/>
      <c r="U2" s="40"/>
      <c r="V2" s="40"/>
      <c r="W2" s="40"/>
    </row>
    <row r="3" customFormat="false" ht="13.8" hidden="false" customHeight="false" outlineLevel="0" collapsed="false">
      <c r="A3" s="36"/>
      <c r="F3" s="37"/>
      <c r="G3" s="37"/>
      <c r="H3" s="37"/>
      <c r="K3" s="38"/>
      <c r="L3" s="38"/>
      <c r="M3" s="38"/>
      <c r="N3" s="38"/>
      <c r="O3" s="39"/>
      <c r="P3" s="39"/>
      <c r="Q3" s="39"/>
      <c r="S3" s="42"/>
      <c r="T3" s="43"/>
      <c r="U3" s="40"/>
      <c r="V3" s="40"/>
      <c r="W3" s="40"/>
    </row>
    <row r="4" customFormat="false" ht="13.8" hidden="false" customHeight="false" outlineLevel="0" collapsed="false">
      <c r="O4" s="44"/>
      <c r="P4" s="45"/>
      <c r="Q4" s="46"/>
      <c r="S4" s="34"/>
      <c r="T4" s="43"/>
      <c r="U4" s="47"/>
      <c r="V4" s="48"/>
      <c r="W4" s="49"/>
    </row>
    <row r="5" customFormat="false" ht="60.5" hidden="false" customHeight="true" outlineLevel="0" collapsed="false">
      <c r="A5" s="50" t="s">
        <v>32</v>
      </c>
      <c r="B5" s="50"/>
      <c r="F5" s="51"/>
      <c r="G5" s="52"/>
      <c r="H5" s="53"/>
      <c r="K5" s="54" t="s">
        <v>33</v>
      </c>
      <c r="L5" s="54"/>
      <c r="M5" s="54"/>
      <c r="N5" s="54"/>
      <c r="O5" s="55" t="s">
        <v>34</v>
      </c>
      <c r="P5" s="55"/>
      <c r="Q5" s="55"/>
      <c r="S5" s="34"/>
      <c r="U5" s="56"/>
      <c r="V5" s="56"/>
      <c r="W5" s="56"/>
    </row>
    <row r="6" customFormat="false" ht="41.25" hidden="false" customHeight="true" outlineLevel="0" collapsed="false">
      <c r="A6" s="57"/>
      <c r="F6" s="51"/>
      <c r="G6" s="52"/>
      <c r="H6" s="53"/>
      <c r="J6" s="58" t="s">
        <v>35</v>
      </c>
      <c r="K6" s="59" t="s">
        <v>36</v>
      </c>
      <c r="L6" s="59"/>
      <c r="M6" s="59"/>
      <c r="N6" s="60" t="n">
        <f aca="false">pxcontraste</f>
        <v>0.3</v>
      </c>
      <c r="O6" s="55"/>
      <c r="P6" s="55"/>
      <c r="Q6" s="55"/>
      <c r="S6" s="61"/>
      <c r="U6" s="56"/>
      <c r="V6" s="56"/>
      <c r="W6" s="56"/>
    </row>
    <row r="7" s="61" customFormat="true" ht="31.5" hidden="false" customHeight="true" outlineLevel="0" collapsed="false">
      <c r="A7" s="62" t="s">
        <v>37</v>
      </c>
      <c r="B7" s="62" t="s">
        <v>38</v>
      </c>
      <c r="C7" s="63"/>
      <c r="D7" s="64" t="s">
        <v>39</v>
      </c>
      <c r="E7" s="65" t="s">
        <v>40</v>
      </c>
      <c r="F7" s="64" t="s">
        <v>41</v>
      </c>
      <c r="G7" s="64" t="s">
        <v>38</v>
      </c>
      <c r="H7" s="65" t="s">
        <v>42</v>
      </c>
      <c r="I7" s="65" t="s">
        <v>43</v>
      </c>
      <c r="J7" s="65"/>
      <c r="K7" s="66" t="s">
        <v>44</v>
      </c>
      <c r="L7" s="67" t="s">
        <v>45</v>
      </c>
      <c r="M7" s="68" t="s">
        <v>46</v>
      </c>
      <c r="N7" s="68" t="s">
        <v>47</v>
      </c>
      <c r="O7" s="69" t="s">
        <v>45</v>
      </c>
      <c r="P7" s="70" t="s">
        <v>48</v>
      </c>
      <c r="Q7" s="71" t="s">
        <v>47</v>
      </c>
      <c r="R7" s="64" t="s">
        <v>49</v>
      </c>
      <c r="U7" s="72"/>
    </row>
    <row r="8" customFormat="false" ht="13.8" hidden="false" customHeight="false" outlineLevel="0" collapsed="false">
      <c r="C8" s="73"/>
      <c r="F8" s="25"/>
      <c r="G8" s="25"/>
      <c r="H8" s="25"/>
      <c r="I8" s="25"/>
      <c r="J8" s="25"/>
      <c r="K8" s="25"/>
      <c r="L8" s="25"/>
      <c r="M8" s="74"/>
      <c r="N8" s="74"/>
      <c r="O8" s="74"/>
      <c r="P8" s="74"/>
      <c r="Q8" s="74"/>
      <c r="R8" s="75"/>
    </row>
    <row r="9" s="81" customFormat="true" ht="17.35" hidden="false" customHeight="false" outlineLevel="0" collapsed="false">
      <c r="A9" s="76" t="s">
        <v>50</v>
      </c>
      <c r="B9" s="76"/>
      <c r="C9" s="76"/>
      <c r="D9" s="77"/>
      <c r="E9" s="78"/>
      <c r="F9" s="77"/>
      <c r="G9" s="79"/>
      <c r="H9" s="79"/>
      <c r="I9" s="79"/>
      <c r="J9" s="79"/>
      <c r="K9" s="79"/>
      <c r="L9" s="79"/>
      <c r="M9" s="79"/>
      <c r="N9" s="79"/>
      <c r="O9" s="79"/>
      <c r="P9" s="79"/>
      <c r="Q9" s="79"/>
      <c r="R9" s="80"/>
    </row>
    <row r="10" s="81" customFormat="true" ht="15" hidden="false" customHeight="false" outlineLevel="0" collapsed="false">
      <c r="A10" s="82" t="s">
        <v>51</v>
      </c>
      <c r="B10" s="82"/>
      <c r="C10" s="82"/>
      <c r="D10" s="82"/>
      <c r="E10" s="83"/>
      <c r="F10" s="82"/>
      <c r="G10" s="84"/>
      <c r="H10" s="84"/>
      <c r="I10" s="84"/>
      <c r="J10" s="84"/>
      <c r="K10" s="84"/>
      <c r="L10" s="84"/>
      <c r="M10" s="84"/>
      <c r="N10" s="84"/>
      <c r="O10" s="84"/>
      <c r="P10" s="84"/>
      <c r="Q10" s="84"/>
      <c r="R10" s="85"/>
      <c r="AME10" s="86"/>
      <c r="AMF10" s="86"/>
      <c r="AMG10" s="86"/>
      <c r="AMH10" s="86"/>
      <c r="AMI10" s="86"/>
      <c r="AMJ10" s="86"/>
    </row>
    <row r="11" customFormat="false" ht="13.8" hidden="false" customHeight="false" outlineLevel="0" collapsed="false">
      <c r="A11" s="87"/>
      <c r="B11" s="88"/>
      <c r="C11" s="87"/>
      <c r="D11" s="89"/>
      <c r="E11" s="90"/>
      <c r="F11" s="91"/>
      <c r="G11" s="91"/>
      <c r="H11" s="91"/>
      <c r="I11" s="92"/>
      <c r="J11" s="92"/>
      <c r="K11" s="93"/>
      <c r="L11" s="94"/>
      <c r="M11" s="91"/>
      <c r="N11" s="95"/>
      <c r="O11" s="96"/>
      <c r="P11" s="91"/>
      <c r="Q11" s="97"/>
      <c r="R11" s="98"/>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c r="BA11" s="99"/>
      <c r="BB11" s="99"/>
      <c r="BC11" s="99"/>
      <c r="BD11" s="99"/>
      <c r="BE11" s="99"/>
      <c r="BF11" s="99"/>
      <c r="BG11" s="99"/>
      <c r="BH11" s="99"/>
      <c r="BI11" s="99"/>
      <c r="BJ11" s="99"/>
      <c r="BK11" s="99"/>
      <c r="BL11" s="99"/>
      <c r="AME11" s="100"/>
      <c r="AMF11" s="100"/>
      <c r="AMG11" s="100"/>
      <c r="AMH11" s="100"/>
      <c r="AMI11" s="100"/>
      <c r="AMJ11" s="100"/>
    </row>
    <row r="12" s="105" customFormat="true" ht="13.8" hidden="false" customHeight="false" outlineLevel="0" collapsed="false">
      <c r="A12" s="101" t="s">
        <v>52</v>
      </c>
      <c r="B12" s="101"/>
      <c r="C12" s="101"/>
      <c r="D12" s="101"/>
      <c r="E12" s="102"/>
      <c r="F12" s="101"/>
      <c r="G12" s="103"/>
      <c r="H12" s="103"/>
      <c r="I12" s="103"/>
      <c r="J12" s="103"/>
      <c r="K12" s="103"/>
      <c r="L12" s="103"/>
      <c r="M12" s="103"/>
      <c r="N12" s="103"/>
      <c r="O12" s="103"/>
      <c r="P12" s="103"/>
      <c r="Q12" s="103"/>
      <c r="R12" s="104"/>
    </row>
    <row r="13" customFormat="false" ht="13.8" hidden="false" customHeight="false" outlineLevel="0" collapsed="false">
      <c r="A13" s="106" t="s">
        <v>53</v>
      </c>
      <c r="B13" s="106"/>
      <c r="C13" s="106"/>
      <c r="D13" s="106"/>
      <c r="E13" s="107"/>
      <c r="F13" s="106"/>
      <c r="G13" s="108"/>
      <c r="H13" s="108"/>
      <c r="I13" s="108"/>
      <c r="J13" s="109"/>
      <c r="K13" s="110"/>
      <c r="L13" s="109"/>
      <c r="M13" s="111"/>
      <c r="N13" s="95"/>
      <c r="O13" s="96"/>
      <c r="P13" s="111"/>
      <c r="Q13" s="97"/>
      <c r="R13" s="112"/>
      <c r="S13" s="42"/>
      <c r="T13" s="42"/>
      <c r="U13" s="42"/>
      <c r="V13" s="42"/>
      <c r="W13" s="42"/>
      <c r="X13" s="42"/>
      <c r="Y13" s="42"/>
      <c r="Z13" s="42"/>
      <c r="AA13" s="42"/>
      <c r="AB13" s="42"/>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AME13" s="114"/>
      <c r="AMF13" s="114"/>
      <c r="AMG13" s="114"/>
      <c r="AMH13" s="114"/>
      <c r="AMI13" s="114"/>
      <c r="AMJ13" s="114"/>
    </row>
    <row r="14" customFormat="false" ht="42.5" hidden="false" customHeight="false" outlineLevel="0" collapsed="false">
      <c r="A14" s="115"/>
      <c r="B14" s="116" t="s">
        <v>54</v>
      </c>
      <c r="C14" s="117" t="s">
        <v>55</v>
      </c>
      <c r="D14" s="118"/>
      <c r="E14" s="119"/>
      <c r="F14" s="118"/>
      <c r="G14" s="120"/>
      <c r="H14" s="120"/>
      <c r="I14" s="120"/>
      <c r="J14" s="121"/>
      <c r="K14" s="122"/>
      <c r="L14" s="121"/>
      <c r="M14" s="123"/>
      <c r="N14" s="124"/>
      <c r="O14" s="125"/>
      <c r="P14" s="123"/>
      <c r="Q14" s="126"/>
      <c r="R14" s="127"/>
    </row>
    <row r="15" customFormat="false" ht="17.9" hidden="false" customHeight="false" outlineLevel="0" collapsed="false">
      <c r="A15" s="128"/>
      <c r="B15" s="128"/>
      <c r="C15" s="36"/>
      <c r="D15" s="129" t="s">
        <v>56</v>
      </c>
      <c r="E15" s="130" t="str">
        <f aca="false">IF(D15="","",VLOOKUP(D15,matriz_codigo_prezos,2,FALSE()))</f>
        <v>Análise granulométrica por tamizado (solos UNE 103101 ou equivalente) (aridos UNE EN 933-1 ou equivalente)</v>
      </c>
      <c r="F15" s="131" t="n">
        <v>5000</v>
      </c>
      <c r="G15" s="129" t="s">
        <v>54</v>
      </c>
      <c r="H15" s="132" t="n">
        <v>1</v>
      </c>
      <c r="I15" s="133" t="n">
        <f aca="false">IF($A$14="",0,IF(($A$14/F15)&gt;1,ROUNDUP($A$14/F15,0), 1))</f>
        <v>0</v>
      </c>
      <c r="J15" s="133" t="s">
        <v>57</v>
      </c>
      <c r="K15" s="134" t="n">
        <f aca="false">$N$6</f>
        <v>0.3</v>
      </c>
      <c r="L15" s="129" t="n">
        <f aca="false">IF(O15=0,0,ROUNDUP(O15*K15,0))</f>
        <v>0</v>
      </c>
      <c r="M15" s="135" t="n">
        <f aca="false">P15</f>
        <v>44</v>
      </c>
      <c r="N15" s="136" t="n">
        <f aca="false">ROUND(L15*M15,2)</f>
        <v>0</v>
      </c>
      <c r="O15" s="137" t="n">
        <f aca="false">INT(I15*H15)</f>
        <v>0</v>
      </c>
      <c r="P15" s="135" t="n">
        <f aca="false">IF(D15="","",VLOOKUP(D15,matriz_codigo_prezos,6,FALSE()))</f>
        <v>44</v>
      </c>
      <c r="Q15" s="138" t="n">
        <f aca="false">IF(O15="","",ROUND(O15*P15,2))</f>
        <v>0</v>
      </c>
      <c r="R15" s="112"/>
    </row>
    <row r="16" customFormat="false" ht="17.9" hidden="false" customHeight="false" outlineLevel="0" collapsed="false">
      <c r="A16" s="128"/>
      <c r="B16" s="128"/>
      <c r="C16" s="36"/>
      <c r="D16" s="139" t="s">
        <v>58</v>
      </c>
      <c r="E16" s="130" t="str">
        <f aca="false">IF(D16="","",VLOOKUP(D16,matriz_codigo_prezos,2,FALSE()))</f>
        <v>Límites de Atterberg. Límite líquido e limite plástico UNE 103103, 103104  ou equivalente</v>
      </c>
      <c r="F16" s="131" t="n">
        <v>5000</v>
      </c>
      <c r="G16" s="129" t="s">
        <v>54</v>
      </c>
      <c r="H16" s="132" t="n">
        <v>1</v>
      </c>
      <c r="I16" s="133" t="n">
        <f aca="false">IF($A$14="",0,IF(($A$14/F16)&gt;1,ROUNDUP($A$14/F16,0), 1))</f>
        <v>0</v>
      </c>
      <c r="J16" s="133" t="s">
        <v>57</v>
      </c>
      <c r="K16" s="134" t="n">
        <f aca="false">$N$6</f>
        <v>0.3</v>
      </c>
      <c r="L16" s="129" t="n">
        <f aca="false">IF(O16=0,0,ROUNDUP(O16*K16,0))</f>
        <v>0</v>
      </c>
      <c r="M16" s="135" t="n">
        <f aca="false">P16</f>
        <v>63</v>
      </c>
      <c r="N16" s="136" t="n">
        <f aca="false">ROUND(L16*M16,2)</f>
        <v>0</v>
      </c>
      <c r="O16" s="137" t="n">
        <f aca="false">INT(I16*H16)</f>
        <v>0</v>
      </c>
      <c r="P16" s="135" t="n">
        <f aca="false">IF(D16="","",VLOOKUP(D16,matriz_codigo_prezos,6,FALSE()))</f>
        <v>63</v>
      </c>
      <c r="Q16" s="138" t="n">
        <f aca="false">IF(O16="","",ROUND(O16*P16,2))</f>
        <v>0</v>
      </c>
      <c r="R16" s="112"/>
    </row>
    <row r="17" customFormat="false" ht="17.9" hidden="false" customHeight="false" outlineLevel="0" collapsed="false">
      <c r="A17" s="128"/>
      <c r="B17" s="128"/>
      <c r="C17" s="36"/>
      <c r="D17" s="139" t="s">
        <v>59</v>
      </c>
      <c r="E17" s="130" t="str">
        <f aca="false">IF(D17="","",VLOOKUP(D17,matriz_codigo_prezos,2,FALSE()))</f>
        <v>Determinación do contido de materia orgánica oxidable polo método do permanganato potásico UNE EN 103204  ou equivalente</v>
      </c>
      <c r="F17" s="131" t="n">
        <v>5000</v>
      </c>
      <c r="G17" s="129" t="s">
        <v>54</v>
      </c>
      <c r="H17" s="132" t="n">
        <v>1</v>
      </c>
      <c r="I17" s="133" t="n">
        <f aca="false">IF($A$14="",0,IF(($A$14/F17)&gt;1,ROUNDUP($A$14/F17,0), 1))</f>
        <v>0</v>
      </c>
      <c r="J17" s="133" t="s">
        <v>57</v>
      </c>
      <c r="K17" s="134" t="n">
        <f aca="false">$N$6</f>
        <v>0.3</v>
      </c>
      <c r="L17" s="129" t="n">
        <f aca="false">IF(O17=0,0,ROUNDUP(O17*K17,0))</f>
        <v>0</v>
      </c>
      <c r="M17" s="135" t="n">
        <f aca="false">P17</f>
        <v>35</v>
      </c>
      <c r="N17" s="136" t="n">
        <f aca="false">ROUND(L17*M17,2)</f>
        <v>0</v>
      </c>
      <c r="O17" s="137" t="n">
        <f aca="false">INT(I17*H17)</f>
        <v>0</v>
      </c>
      <c r="P17" s="135" t="n">
        <f aca="false">IF(D17="","",VLOOKUP(D17,matriz_codigo_prezos,6,FALSE()))</f>
        <v>35</v>
      </c>
      <c r="Q17" s="138" t="n">
        <f aca="false">IF(O17="","",ROUND(O17*P17,2))</f>
        <v>0</v>
      </c>
      <c r="R17" s="112"/>
    </row>
    <row r="18" customFormat="false" ht="13.8" hidden="false" customHeight="false" outlineLevel="0" collapsed="false">
      <c r="A18" s="128"/>
      <c r="B18" s="128"/>
      <c r="C18" s="36"/>
      <c r="D18" s="139" t="s">
        <v>60</v>
      </c>
      <c r="E18" s="130" t="str">
        <f aca="false">IF(D18="","",VLOOKUP(D18,matriz_codigo_prezos,2,FALSE()))</f>
        <v>Contido de sales solubles en solos UNE 103205 ou equivalente</v>
      </c>
      <c r="F18" s="131" t="n">
        <v>5000</v>
      </c>
      <c r="G18" s="129" t="s">
        <v>54</v>
      </c>
      <c r="H18" s="132" t="n">
        <v>1</v>
      </c>
      <c r="I18" s="133" t="n">
        <f aca="false">IF($A$14="",0,IF(($A$14/F18)&gt;1,ROUNDUP($A$14/F18,0), 1))</f>
        <v>0</v>
      </c>
      <c r="J18" s="133" t="s">
        <v>57</v>
      </c>
      <c r="K18" s="134" t="n">
        <f aca="false">$N$6</f>
        <v>0.3</v>
      </c>
      <c r="L18" s="129" t="n">
        <f aca="false">IF(O18=0,0,ROUNDUP(O18*K18,0))</f>
        <v>0</v>
      </c>
      <c r="M18" s="135" t="n">
        <f aca="false">P18</f>
        <v>69</v>
      </c>
      <c r="N18" s="136" t="n">
        <f aca="false">ROUND(L18*M18,2)</f>
        <v>0</v>
      </c>
      <c r="O18" s="137" t="n">
        <f aca="false">INT(I18*H18)</f>
        <v>0</v>
      </c>
      <c r="P18" s="135" t="n">
        <f aca="false">IF(D18="","",VLOOKUP(D18,matriz_codigo_prezos,6,FALSE()))</f>
        <v>69</v>
      </c>
      <c r="Q18" s="138" t="n">
        <f aca="false">IF(O18="","",ROUND(O18*P18,2))</f>
        <v>0</v>
      </c>
      <c r="R18" s="112"/>
    </row>
    <row r="19" customFormat="false" ht="13.8" hidden="false" customHeight="false" outlineLevel="0" collapsed="false">
      <c r="A19" s="128"/>
      <c r="B19" s="128"/>
      <c r="C19" s="36"/>
      <c r="D19" s="139" t="s">
        <v>61</v>
      </c>
      <c r="E19" s="130" t="str">
        <f aca="false">IF(D19="","",VLOOKUP(D19,matriz_codigo_prezos,2,FALSE()))</f>
        <v>Ensaio de compactación Proctor Modificado UNE 103501 ou equivalente</v>
      </c>
      <c r="F19" s="131" t="n">
        <v>5000</v>
      </c>
      <c r="G19" s="129" t="s">
        <v>54</v>
      </c>
      <c r="H19" s="132" t="n">
        <v>1</v>
      </c>
      <c r="I19" s="133" t="n">
        <f aca="false">IF($A$14="",0,IF(($A$14/F19)&gt;1,ROUNDUP($A$14/F19,0), 1))</f>
        <v>0</v>
      </c>
      <c r="J19" s="133" t="s">
        <v>57</v>
      </c>
      <c r="K19" s="134" t="n">
        <f aca="false">$N$6</f>
        <v>0.3</v>
      </c>
      <c r="L19" s="129" t="n">
        <f aca="false">IF(O19=0,0,ROUNDUP(O19*K19,0))</f>
        <v>0</v>
      </c>
      <c r="M19" s="135" t="n">
        <f aca="false">P19</f>
        <v>92</v>
      </c>
      <c r="N19" s="136" t="n">
        <f aca="false">ROUND(L19*M19,2)</f>
        <v>0</v>
      </c>
      <c r="O19" s="137" t="n">
        <f aca="false">INT(I19*H19)</f>
        <v>0</v>
      </c>
      <c r="P19" s="135" t="n">
        <f aca="false">IF(D19="","",VLOOKUP(D19,matriz_codigo_prezos,6,FALSE()))</f>
        <v>92</v>
      </c>
      <c r="Q19" s="138" t="n">
        <f aca="false">IF(O19="","",ROUND(O19*P19,2))</f>
        <v>0</v>
      </c>
      <c r="R19" s="112"/>
    </row>
    <row r="20" customFormat="false" ht="13.8" hidden="false" customHeight="false" outlineLevel="0" collapsed="false">
      <c r="A20" s="128"/>
      <c r="B20" s="128"/>
      <c r="C20" s="36"/>
      <c r="D20" s="139" t="s">
        <v>62</v>
      </c>
      <c r="E20" s="130" t="str">
        <f aca="false">IF(D20="","",VLOOKUP(D20,matriz_codigo_prezos,2,FALSE()))</f>
        <v>Contido de xeso UNE 103206 ou equivalente</v>
      </c>
      <c r="F20" s="131" t="n">
        <v>10000</v>
      </c>
      <c r="G20" s="129" t="s">
        <v>54</v>
      </c>
      <c r="H20" s="132" t="n">
        <v>1</v>
      </c>
      <c r="I20" s="133" t="n">
        <f aca="false">IF($A$14="",0,IF(($A$14/F20)&gt;1,ROUNDUP($A$14/F20,0), 1))</f>
        <v>0</v>
      </c>
      <c r="J20" s="133" t="s">
        <v>57</v>
      </c>
      <c r="K20" s="134" t="n">
        <f aca="false">$N$6</f>
        <v>0.3</v>
      </c>
      <c r="L20" s="129" t="n">
        <f aca="false">IF(O20=0,0,ROUNDUP(O20*K20,0))</f>
        <v>0</v>
      </c>
      <c r="M20" s="135" t="n">
        <f aca="false">P20</f>
        <v>69</v>
      </c>
      <c r="N20" s="136" t="n">
        <f aca="false">ROUND(L20*M20,2)</f>
        <v>0</v>
      </c>
      <c r="O20" s="137" t="n">
        <f aca="false">INT(I20*H20)</f>
        <v>0</v>
      </c>
      <c r="P20" s="135" t="n">
        <f aca="false">IF(D20="","",VLOOKUP(D20,matriz_codigo_prezos,6,FALSE()))</f>
        <v>69</v>
      </c>
      <c r="Q20" s="138" t="n">
        <f aca="false">IF(O20="","",ROUND(O20*P20,2))</f>
        <v>0</v>
      </c>
      <c r="R20" s="112"/>
    </row>
    <row r="21" customFormat="false" ht="13.8" hidden="false" customHeight="false" outlineLevel="0" collapsed="false">
      <c r="A21" s="128"/>
      <c r="B21" s="128"/>
      <c r="C21" s="36"/>
      <c r="D21" s="139" t="s">
        <v>63</v>
      </c>
      <c r="E21" s="130" t="str">
        <f aca="false">IF(D21="","",VLOOKUP(D21,matriz_codigo_prezos,2,FALSE()))</f>
        <v>Índice CBR en Laboratorio, sen incluír Proctor UNE 103502 ou equivalente</v>
      </c>
      <c r="F21" s="131" t="n">
        <v>10000</v>
      </c>
      <c r="G21" s="129" t="s">
        <v>54</v>
      </c>
      <c r="H21" s="132" t="n">
        <v>1</v>
      </c>
      <c r="I21" s="133" t="n">
        <f aca="false">IF($A$14="",0,IF(($A$14/F21)&gt;1,ROUNDUP($A$14/F21,0), 1))</f>
        <v>0</v>
      </c>
      <c r="J21" s="133" t="s">
        <v>57</v>
      </c>
      <c r="K21" s="134" t="n">
        <f aca="false">$N$6</f>
        <v>0.3</v>
      </c>
      <c r="L21" s="129" t="n">
        <f aca="false">IF(O21=0,0,ROUNDUP(O21*K21,0))</f>
        <v>0</v>
      </c>
      <c r="M21" s="135" t="n">
        <f aca="false">P21</f>
        <v>83</v>
      </c>
      <c r="N21" s="136" t="n">
        <f aca="false">ROUND(L21*M21,2)</f>
        <v>0</v>
      </c>
      <c r="O21" s="137" t="n">
        <f aca="false">INT(I21*H21)</f>
        <v>0</v>
      </c>
      <c r="P21" s="135" t="n">
        <f aca="false">IF(D21="","",VLOOKUP(D21,matriz_codigo_prezos,6,FALSE()))</f>
        <v>83</v>
      </c>
      <c r="Q21" s="138" t="n">
        <f aca="false">IF(O21="","",ROUND(O21*P21,2))</f>
        <v>0</v>
      </c>
      <c r="R21" s="112"/>
    </row>
    <row r="22" customFormat="false" ht="13.8" hidden="false" customHeight="false" outlineLevel="0" collapsed="false">
      <c r="A22" s="128"/>
      <c r="B22" s="128"/>
      <c r="C22" s="36"/>
      <c r="D22" s="139" t="s">
        <v>64</v>
      </c>
      <c r="E22" s="130" t="str">
        <f aca="false">IF(D22="","",VLOOKUP(D22,matriz_codigo_prezos,2,FALSE()))</f>
        <v>Ensaio de hinchamento libre no edómetro UNE 103601 ou equivalente</v>
      </c>
      <c r="F22" s="131" t="n">
        <v>10000</v>
      </c>
      <c r="G22" s="129" t="s">
        <v>54</v>
      </c>
      <c r="H22" s="132" t="n">
        <v>1</v>
      </c>
      <c r="I22" s="133" t="n">
        <f aca="false">IF($A$14="",0,IF(($A$14/F22)&gt;1,ROUNDUP($A$14/F22,0), 1))</f>
        <v>0</v>
      </c>
      <c r="J22" s="133" t="s">
        <v>57</v>
      </c>
      <c r="K22" s="134" t="n">
        <f aca="false">$N$6</f>
        <v>0.3</v>
      </c>
      <c r="L22" s="129" t="n">
        <f aca="false">IF(O22=0,0,ROUNDUP(O22*K22,0))</f>
        <v>0</v>
      </c>
      <c r="M22" s="135" t="n">
        <f aca="false">P22</f>
        <v>83</v>
      </c>
      <c r="N22" s="136" t="n">
        <f aca="false">ROUND(L22*M22,2)</f>
        <v>0</v>
      </c>
      <c r="O22" s="137" t="n">
        <f aca="false">INT(I22*H22)</f>
        <v>0</v>
      </c>
      <c r="P22" s="135" t="n">
        <f aca="false">IF(D22="","",VLOOKUP(D22,matriz_codigo_prezos,6,FALSE()))</f>
        <v>83</v>
      </c>
      <c r="Q22" s="138" t="n">
        <f aca="false">IF(O22="","",ROUND(O22*P22,2))</f>
        <v>0</v>
      </c>
      <c r="R22" s="112"/>
    </row>
    <row r="23" customFormat="false" ht="13.8" hidden="false" customHeight="false" outlineLevel="0" collapsed="false">
      <c r="A23" s="128"/>
      <c r="B23" s="128"/>
      <c r="C23" s="36"/>
      <c r="D23" s="139" t="s">
        <v>65</v>
      </c>
      <c r="E23" s="130" t="str">
        <f aca="false">IF(D23="","",VLOOKUP(D23,matriz_codigo_prezos,2,FALSE()))</f>
        <v>Ensaio de colapso en solo UNE 103406 ou equivalente</v>
      </c>
      <c r="F23" s="131" t="n">
        <v>10000</v>
      </c>
      <c r="G23" s="129" t="s">
        <v>54</v>
      </c>
      <c r="H23" s="132" t="n">
        <v>1</v>
      </c>
      <c r="I23" s="133" t="n">
        <f aca="false">IF($A$14="",0,IF(($A$14/F23)&gt;1,ROUNDUP($A$14/F23,0), 1))</f>
        <v>0</v>
      </c>
      <c r="J23" s="133" t="s">
        <v>57</v>
      </c>
      <c r="K23" s="134" t="n">
        <f aca="false">$N$6</f>
        <v>0.3</v>
      </c>
      <c r="L23" s="129" t="n">
        <f aca="false">IF(O23=0,0,ROUNDUP(O23*K23,0))</f>
        <v>0</v>
      </c>
      <c r="M23" s="135" t="n">
        <f aca="false">P23</f>
        <v>78</v>
      </c>
      <c r="N23" s="136" t="n">
        <f aca="false">ROUND(L23*M23,2)</f>
        <v>0</v>
      </c>
      <c r="O23" s="137" t="n">
        <f aca="false">INT(I23*H23)</f>
        <v>0</v>
      </c>
      <c r="P23" s="135" t="n">
        <f aca="false">IF(D23="","",VLOOKUP(D23,matriz_codigo_prezos,6,FALSE()))</f>
        <v>78</v>
      </c>
      <c r="Q23" s="138" t="n">
        <f aca="false">IF(O23="","",ROUND(O23*P23,2))</f>
        <v>0</v>
      </c>
      <c r="R23" s="112"/>
    </row>
    <row r="24" customFormat="false" ht="50.7" hidden="false" customHeight="false" outlineLevel="0" collapsed="false">
      <c r="A24" s="115"/>
      <c r="B24" s="116" t="s">
        <v>54</v>
      </c>
      <c r="C24" s="117" t="s">
        <v>66</v>
      </c>
      <c r="D24" s="118"/>
      <c r="E24" s="119"/>
      <c r="F24" s="118"/>
      <c r="G24" s="120"/>
      <c r="H24" s="120"/>
      <c r="I24" s="120"/>
      <c r="J24" s="133"/>
      <c r="K24" s="140"/>
      <c r="L24" s="129"/>
      <c r="M24" s="135"/>
      <c r="N24" s="141"/>
      <c r="O24" s="137"/>
      <c r="P24" s="135"/>
      <c r="Q24" s="136"/>
      <c r="R24" s="127"/>
    </row>
    <row r="25" customFormat="false" ht="17.9" hidden="false" customHeight="false" outlineLevel="0" collapsed="false">
      <c r="A25" s="128"/>
      <c r="B25" s="128"/>
      <c r="C25" s="36"/>
      <c r="D25" s="129" t="s">
        <v>56</v>
      </c>
      <c r="E25" s="130" t="str">
        <f aca="false">IF(D25="","",VLOOKUP(D25,matriz_codigo_prezos,2,FALSE()))</f>
        <v>Análise granulométrica por tamizado (solos UNE 103101 ou equivalente) (aridos UNE EN 933-1 ou equivalente)</v>
      </c>
      <c r="F25" s="131" t="n">
        <v>10000</v>
      </c>
      <c r="G25" s="129" t="s">
        <v>54</v>
      </c>
      <c r="H25" s="132" t="n">
        <v>1</v>
      </c>
      <c r="I25" s="133" t="n">
        <f aca="false">IF($A$24="",0,IF(($A$24/F25)&gt;1,ROUNDUP($A$24/F25,0), 1))</f>
        <v>0</v>
      </c>
      <c r="J25" s="133" t="s">
        <v>57</v>
      </c>
      <c r="K25" s="134" t="n">
        <f aca="false">$N$6</f>
        <v>0.3</v>
      </c>
      <c r="L25" s="129" t="n">
        <f aca="false">IF(O25=0,0,ROUNDUP(O25*K25,0))</f>
        <v>0</v>
      </c>
      <c r="M25" s="135" t="n">
        <f aca="false">P25</f>
        <v>44</v>
      </c>
      <c r="N25" s="136" t="n">
        <f aca="false">ROUND(L25*M25,2)</f>
        <v>0</v>
      </c>
      <c r="O25" s="137" t="n">
        <f aca="false">INT(I25*H25)</f>
        <v>0</v>
      </c>
      <c r="P25" s="135" t="n">
        <f aca="false">IF(D25="","",VLOOKUP(D25,matriz_codigo_prezos,6,FALSE()))</f>
        <v>44</v>
      </c>
      <c r="Q25" s="138" t="n">
        <f aca="false">IF(O25="","",ROUND(O25*P25,2))</f>
        <v>0</v>
      </c>
      <c r="R25" s="112"/>
    </row>
    <row r="26" customFormat="false" ht="17.9" hidden="false" customHeight="false" outlineLevel="0" collapsed="false">
      <c r="A26" s="128"/>
      <c r="B26" s="128"/>
      <c r="C26" s="36"/>
      <c r="D26" s="139" t="s">
        <v>58</v>
      </c>
      <c r="E26" s="130" t="str">
        <f aca="false">IF(D26="","",VLOOKUP(D26,matriz_codigo_prezos,2,FALSE()))</f>
        <v>Límites de Atterberg. Límite líquido e limite plástico UNE 103103, 103104  ou equivalente</v>
      </c>
      <c r="F26" s="131" t="n">
        <v>10000</v>
      </c>
      <c r="G26" s="129" t="s">
        <v>54</v>
      </c>
      <c r="H26" s="132" t="n">
        <v>1</v>
      </c>
      <c r="I26" s="133" t="n">
        <f aca="false">IF($A$24="",0,IF(($A$24/F26)&gt;1,ROUNDUP($A$24/F26,0), 1))</f>
        <v>0</v>
      </c>
      <c r="J26" s="133" t="s">
        <v>57</v>
      </c>
      <c r="K26" s="134" t="n">
        <f aca="false">$N$6</f>
        <v>0.3</v>
      </c>
      <c r="L26" s="129" t="n">
        <f aca="false">IF(O26=0,0,ROUNDUP(O26*K26,0))</f>
        <v>0</v>
      </c>
      <c r="M26" s="135" t="n">
        <f aca="false">P26</f>
        <v>63</v>
      </c>
      <c r="N26" s="136" t="n">
        <f aca="false">ROUND(L26*M26,2)</f>
        <v>0</v>
      </c>
      <c r="O26" s="137" t="n">
        <f aca="false">INT(I26*H26)</f>
        <v>0</v>
      </c>
      <c r="P26" s="135" t="n">
        <f aca="false">IF(D26="","",VLOOKUP(D26,matriz_codigo_prezos,6,FALSE()))</f>
        <v>63</v>
      </c>
      <c r="Q26" s="138" t="n">
        <f aca="false">IF(O26="","",ROUND(O26*P26,2))</f>
        <v>0</v>
      </c>
      <c r="R26" s="112"/>
    </row>
    <row r="27" customFormat="false" ht="17.9" hidden="false" customHeight="false" outlineLevel="0" collapsed="false">
      <c r="A27" s="128"/>
      <c r="B27" s="128"/>
      <c r="C27" s="36"/>
      <c r="D27" s="139" t="s">
        <v>59</v>
      </c>
      <c r="E27" s="130" t="str">
        <f aca="false">IF(D27="","",VLOOKUP(D27,matriz_codigo_prezos,2,FALSE()))</f>
        <v>Determinación do contido de materia orgánica oxidable polo método do permanganato potásico UNE EN 103204  ou equivalente</v>
      </c>
      <c r="F27" s="131" t="n">
        <v>10000</v>
      </c>
      <c r="G27" s="129" t="s">
        <v>54</v>
      </c>
      <c r="H27" s="132" t="n">
        <v>1</v>
      </c>
      <c r="I27" s="133" t="n">
        <f aca="false">IF($A$24="",0,IF(($A$24/F27)&gt;1,ROUNDUP($A$24/F27,0), 1))</f>
        <v>0</v>
      </c>
      <c r="J27" s="133" t="s">
        <v>57</v>
      </c>
      <c r="K27" s="134" t="n">
        <f aca="false">$N$6</f>
        <v>0.3</v>
      </c>
      <c r="L27" s="129" t="n">
        <f aca="false">IF(O27=0,0,ROUNDUP(O27*K27,0))</f>
        <v>0</v>
      </c>
      <c r="M27" s="135" t="n">
        <f aca="false">P27</f>
        <v>35</v>
      </c>
      <c r="N27" s="136" t="n">
        <f aca="false">ROUND(L27*M27,2)</f>
        <v>0</v>
      </c>
      <c r="O27" s="137" t="n">
        <f aca="false">INT(I27*H27)</f>
        <v>0</v>
      </c>
      <c r="P27" s="135" t="n">
        <f aca="false">IF(D27="","",VLOOKUP(D27,matriz_codigo_prezos,6,FALSE()))</f>
        <v>35</v>
      </c>
      <c r="Q27" s="138" t="n">
        <f aca="false">IF(O27="","",ROUND(O27*P27,2))</f>
        <v>0</v>
      </c>
      <c r="R27" s="112"/>
    </row>
    <row r="28" customFormat="false" ht="13.8" hidden="false" customHeight="false" outlineLevel="0" collapsed="false">
      <c r="A28" s="128"/>
      <c r="B28" s="128"/>
      <c r="C28" s="36"/>
      <c r="D28" s="139" t="s">
        <v>60</v>
      </c>
      <c r="E28" s="130" t="str">
        <f aca="false">IF(D28="","",VLOOKUP(D28,matriz_codigo_prezos,2,FALSE()))</f>
        <v>Contido de sales solubles en solos UNE 103205 ou equivalente</v>
      </c>
      <c r="F28" s="131" t="n">
        <v>10000</v>
      </c>
      <c r="G28" s="129" t="s">
        <v>54</v>
      </c>
      <c r="H28" s="132" t="n">
        <v>1</v>
      </c>
      <c r="I28" s="133" t="n">
        <f aca="false">IF($A$24="",0,IF(($A$24/F28)&gt;1,ROUNDUP($A$24/F28,0), 1))</f>
        <v>0</v>
      </c>
      <c r="J28" s="133" t="s">
        <v>57</v>
      </c>
      <c r="K28" s="134" t="n">
        <f aca="false">$N$6</f>
        <v>0.3</v>
      </c>
      <c r="L28" s="129" t="n">
        <f aca="false">IF(O28=0,0,ROUNDUP(O28*K28,0))</f>
        <v>0</v>
      </c>
      <c r="M28" s="135" t="n">
        <f aca="false">P28</f>
        <v>69</v>
      </c>
      <c r="N28" s="136" t="n">
        <f aca="false">ROUND(L28*M28,2)</f>
        <v>0</v>
      </c>
      <c r="O28" s="137" t="n">
        <f aca="false">INT(I28*H28)</f>
        <v>0</v>
      </c>
      <c r="P28" s="135" t="n">
        <f aca="false">IF(D28="","",VLOOKUP(D28,matriz_codigo_prezos,6,FALSE()))</f>
        <v>69</v>
      </c>
      <c r="Q28" s="138" t="n">
        <f aca="false">IF(O28="","",ROUND(O28*P28,2))</f>
        <v>0</v>
      </c>
      <c r="R28" s="112"/>
    </row>
    <row r="29" customFormat="false" ht="13.8" hidden="false" customHeight="false" outlineLevel="0" collapsed="false">
      <c r="A29" s="128"/>
      <c r="B29" s="128"/>
      <c r="C29" s="36"/>
      <c r="D29" s="139" t="s">
        <v>61</v>
      </c>
      <c r="E29" s="130" t="str">
        <f aca="false">IF(D29="","",VLOOKUP(D29,matriz_codigo_prezos,2,FALSE()))</f>
        <v>Ensaio de compactación Proctor Modificado UNE 103501 ou equivalente</v>
      </c>
      <c r="F29" s="131" t="n">
        <v>10000</v>
      </c>
      <c r="G29" s="129" t="s">
        <v>54</v>
      </c>
      <c r="H29" s="132" t="n">
        <v>1</v>
      </c>
      <c r="I29" s="133" t="n">
        <f aca="false">IF($A$24="",0,IF(($A$24/F29)&gt;1,ROUNDUP($A$24/F29,0), 1))</f>
        <v>0</v>
      </c>
      <c r="J29" s="133" t="s">
        <v>57</v>
      </c>
      <c r="K29" s="134" t="n">
        <f aca="false">$N$6</f>
        <v>0.3</v>
      </c>
      <c r="L29" s="129" t="n">
        <f aca="false">IF(O29=0,0,ROUNDUP(O29*K29,0))</f>
        <v>0</v>
      </c>
      <c r="M29" s="135" t="n">
        <f aca="false">P29</f>
        <v>92</v>
      </c>
      <c r="N29" s="136" t="n">
        <f aca="false">ROUND(L29*M29,2)</f>
        <v>0</v>
      </c>
      <c r="O29" s="137" t="n">
        <f aca="false">INT(I29*H29)</f>
        <v>0</v>
      </c>
      <c r="P29" s="135" t="n">
        <f aca="false">IF(D29="","",VLOOKUP(D29,matriz_codigo_prezos,6,FALSE()))</f>
        <v>92</v>
      </c>
      <c r="Q29" s="138" t="n">
        <f aca="false">IF(O29="","",ROUND(O29*P29,2))</f>
        <v>0</v>
      </c>
      <c r="R29" s="112"/>
    </row>
    <row r="30" customFormat="false" ht="13.8" hidden="false" customHeight="false" outlineLevel="0" collapsed="false">
      <c r="A30" s="128"/>
      <c r="B30" s="128"/>
      <c r="C30" s="36"/>
      <c r="D30" s="139" t="s">
        <v>62</v>
      </c>
      <c r="E30" s="130" t="str">
        <f aca="false">IF(D30="","",VLOOKUP(D30,matriz_codigo_prezos,2,FALSE()))</f>
        <v>Contido de xeso UNE 103206 ou equivalente</v>
      </c>
      <c r="F30" s="131" t="n">
        <v>20000</v>
      </c>
      <c r="G30" s="129" t="s">
        <v>54</v>
      </c>
      <c r="H30" s="132" t="n">
        <v>1</v>
      </c>
      <c r="I30" s="133" t="n">
        <f aca="false">IF($A$24="",0,IF(($A$24/F30)&gt;1,ROUNDUP($A$24/F30,0), 1))</f>
        <v>0</v>
      </c>
      <c r="J30" s="133" t="s">
        <v>57</v>
      </c>
      <c r="K30" s="134" t="n">
        <f aca="false">$N$6</f>
        <v>0.3</v>
      </c>
      <c r="L30" s="129" t="n">
        <f aca="false">IF(O30=0,0,ROUNDUP(O30*K30,0))</f>
        <v>0</v>
      </c>
      <c r="M30" s="135" t="n">
        <f aca="false">P30</f>
        <v>69</v>
      </c>
      <c r="N30" s="136" t="n">
        <f aca="false">ROUND(L30*M30,2)</f>
        <v>0</v>
      </c>
      <c r="O30" s="137" t="n">
        <f aca="false">INT(I30*H30)</f>
        <v>0</v>
      </c>
      <c r="P30" s="135" t="n">
        <f aca="false">IF(D30="","",VLOOKUP(D30,matriz_codigo_prezos,6,FALSE()))</f>
        <v>69</v>
      </c>
      <c r="Q30" s="138" t="n">
        <f aca="false">IF(O30="","",ROUND(O30*P30,2))</f>
        <v>0</v>
      </c>
      <c r="R30" s="112"/>
    </row>
    <row r="31" customFormat="false" ht="13.8" hidden="false" customHeight="false" outlineLevel="0" collapsed="false">
      <c r="A31" s="128"/>
      <c r="B31" s="128"/>
      <c r="C31" s="36"/>
      <c r="D31" s="139" t="s">
        <v>63</v>
      </c>
      <c r="E31" s="130" t="str">
        <f aca="false">IF(D31="","",VLOOKUP(D31,matriz_codigo_prezos,2,FALSE()))</f>
        <v>Índice CBR en Laboratorio, sen incluír Proctor UNE 103502 ou equivalente</v>
      </c>
      <c r="F31" s="131" t="n">
        <v>20000</v>
      </c>
      <c r="G31" s="129" t="s">
        <v>54</v>
      </c>
      <c r="H31" s="132" t="n">
        <v>1</v>
      </c>
      <c r="I31" s="133" t="n">
        <f aca="false">IF($A$24="",0,IF(($A$24/F31)&gt;1,ROUNDUP($A$24/F31,0), 1))</f>
        <v>0</v>
      </c>
      <c r="J31" s="133" t="s">
        <v>57</v>
      </c>
      <c r="K31" s="134" t="n">
        <f aca="false">$N$6</f>
        <v>0.3</v>
      </c>
      <c r="L31" s="129" t="n">
        <f aca="false">IF(O31=0,0,ROUNDUP(O31*K31,0))</f>
        <v>0</v>
      </c>
      <c r="M31" s="135" t="n">
        <f aca="false">P31</f>
        <v>83</v>
      </c>
      <c r="N31" s="136" t="n">
        <f aca="false">ROUND(L31*M31,2)</f>
        <v>0</v>
      </c>
      <c r="O31" s="137" t="n">
        <f aca="false">INT(I31*H31)</f>
        <v>0</v>
      </c>
      <c r="P31" s="135" t="n">
        <f aca="false">IF(D31="","",VLOOKUP(D31,matriz_codigo_prezos,6,FALSE()))</f>
        <v>83</v>
      </c>
      <c r="Q31" s="138" t="n">
        <f aca="false">IF(O31="","",ROUND(O31*P31,2))</f>
        <v>0</v>
      </c>
      <c r="R31" s="112"/>
    </row>
    <row r="32" customFormat="false" ht="13.8" hidden="false" customHeight="false" outlineLevel="0" collapsed="false">
      <c r="A32" s="128"/>
      <c r="B32" s="128"/>
      <c r="C32" s="36"/>
      <c r="D32" s="139" t="s">
        <v>64</v>
      </c>
      <c r="E32" s="130" t="str">
        <f aca="false">IF(D32="","",VLOOKUP(D32,matriz_codigo_prezos,2,FALSE()))</f>
        <v>Ensaio de hinchamento libre no edómetro UNE 103601 ou equivalente</v>
      </c>
      <c r="F32" s="131" t="n">
        <v>20000</v>
      </c>
      <c r="G32" s="129" t="s">
        <v>54</v>
      </c>
      <c r="H32" s="132" t="n">
        <v>1</v>
      </c>
      <c r="I32" s="133" t="n">
        <f aca="false">IF($A$24="",0,IF(($A$24/F32)&gt;1,ROUNDUP($A$24/F32,0), 1))</f>
        <v>0</v>
      </c>
      <c r="J32" s="133" t="s">
        <v>57</v>
      </c>
      <c r="K32" s="134" t="n">
        <f aca="false">$N$6</f>
        <v>0.3</v>
      </c>
      <c r="L32" s="129" t="n">
        <f aca="false">IF(O32=0,0,ROUNDUP(O32*K32,0))</f>
        <v>0</v>
      </c>
      <c r="M32" s="135" t="n">
        <f aca="false">P32</f>
        <v>83</v>
      </c>
      <c r="N32" s="136" t="n">
        <f aca="false">ROUND(L32*M32,2)</f>
        <v>0</v>
      </c>
      <c r="O32" s="137" t="n">
        <f aca="false">INT(I32*H32)</f>
        <v>0</v>
      </c>
      <c r="P32" s="135" t="n">
        <f aca="false">IF(D32="","",VLOOKUP(D32,matriz_codigo_prezos,6,FALSE()))</f>
        <v>83</v>
      </c>
      <c r="Q32" s="138" t="n">
        <f aca="false">IF(O32="","",ROUND(O32*P32,2))</f>
        <v>0</v>
      </c>
      <c r="R32" s="112"/>
    </row>
    <row r="33" customFormat="false" ht="13.8" hidden="false" customHeight="false" outlineLevel="0" collapsed="false">
      <c r="A33" s="128"/>
      <c r="B33" s="128"/>
      <c r="C33" s="36"/>
      <c r="D33" s="139" t="s">
        <v>65</v>
      </c>
      <c r="E33" s="130" t="str">
        <f aca="false">IF(D33="","",VLOOKUP(D33,matriz_codigo_prezos,2,FALSE()))</f>
        <v>Ensaio de colapso en solo UNE 103406 ou equivalente</v>
      </c>
      <c r="F33" s="131" t="n">
        <v>20000</v>
      </c>
      <c r="G33" s="129" t="s">
        <v>54</v>
      </c>
      <c r="H33" s="132" t="n">
        <v>1</v>
      </c>
      <c r="I33" s="133" t="n">
        <f aca="false">IF($A$24="",0,IF(($A$24/F33)&gt;1,ROUNDUP($A$24/F33,0), 1))</f>
        <v>0</v>
      </c>
      <c r="J33" s="133" t="s">
        <v>57</v>
      </c>
      <c r="K33" s="134" t="n">
        <f aca="false">$N$6</f>
        <v>0.3</v>
      </c>
      <c r="L33" s="129" t="n">
        <f aca="false">IF(O33=0,0,ROUNDUP(O33*K33,0))</f>
        <v>0</v>
      </c>
      <c r="M33" s="135" t="n">
        <f aca="false">P33</f>
        <v>78</v>
      </c>
      <c r="N33" s="136" t="n">
        <f aca="false">ROUND(L33*M33,2)</f>
        <v>0</v>
      </c>
      <c r="O33" s="137" t="n">
        <f aca="false">INT(I33*H33)</f>
        <v>0</v>
      </c>
      <c r="P33" s="135" t="n">
        <f aca="false">IF(D33="","",VLOOKUP(D33,matriz_codigo_prezos,6,FALSE()))</f>
        <v>78</v>
      </c>
      <c r="Q33" s="138" t="n">
        <f aca="false">IF(O33="","",ROUND(O33*P33,2))</f>
        <v>0</v>
      </c>
      <c r="R33" s="112"/>
    </row>
    <row r="34" customFormat="false" ht="13.8" hidden="false" customHeight="false" outlineLevel="0" collapsed="false">
      <c r="A34" s="106" t="s">
        <v>67</v>
      </c>
      <c r="B34" s="106"/>
      <c r="C34" s="106"/>
      <c r="D34" s="106"/>
      <c r="E34" s="107" t="str">
        <f aca="false">IF(D34="","",VLOOKUP(D34,matriz_codigo_prezos,2,FALSE()))</f>
        <v/>
      </c>
      <c r="F34" s="106"/>
      <c r="G34" s="108"/>
      <c r="H34" s="108"/>
      <c r="I34" s="108"/>
      <c r="J34" s="133"/>
      <c r="K34" s="142"/>
      <c r="L34" s="129"/>
      <c r="M34" s="135"/>
      <c r="N34" s="141"/>
      <c r="O34" s="137"/>
      <c r="P34" s="135"/>
      <c r="Q34" s="138"/>
      <c r="R34" s="112"/>
    </row>
    <row r="35" customFormat="false" ht="42.5" hidden="false" customHeight="false" outlineLevel="0" collapsed="false">
      <c r="A35" s="115"/>
      <c r="B35" s="116" t="s">
        <v>68</v>
      </c>
      <c r="C35" s="117" t="s">
        <v>69</v>
      </c>
      <c r="D35" s="118"/>
      <c r="E35" s="119"/>
      <c r="F35" s="118"/>
      <c r="G35" s="120"/>
      <c r="H35" s="120"/>
      <c r="I35" s="120"/>
      <c r="J35" s="133"/>
      <c r="K35" s="143"/>
      <c r="L35" s="144"/>
      <c r="M35" s="135"/>
      <c r="N35" s="141"/>
      <c r="O35" s="145"/>
      <c r="P35" s="135"/>
      <c r="Q35" s="136"/>
      <c r="R35" s="127"/>
    </row>
    <row r="36" customFormat="false" ht="26.1" hidden="false" customHeight="false" outlineLevel="0" collapsed="false">
      <c r="A36" s="128"/>
      <c r="B36" s="128"/>
      <c r="C36" s="36"/>
      <c r="D36" s="139" t="s">
        <v>70</v>
      </c>
      <c r="E36" s="130" t="str">
        <f aca="false">IF(D36="","",VLOOKUP(D36,matriz_codigo_prezos,2,FALSE()))</f>
        <v>Determinación da densidade "in situ", incluíndo humidade por medio de isótopos radiactivos (mínimo  10 determinacións) UNE 103900 ou equivalente</v>
      </c>
      <c r="F36" s="131" t="n">
        <v>3500</v>
      </c>
      <c r="G36" s="129" t="s">
        <v>68</v>
      </c>
      <c r="H36" s="132" t="n">
        <v>5</v>
      </c>
      <c r="I36" s="133" t="n">
        <f aca="false">IF( A35=0,0, ROUNDUP(A35/F36,0))</f>
        <v>0</v>
      </c>
      <c r="J36" s="146" t="s">
        <v>71</v>
      </c>
      <c r="K36" s="134" t="n">
        <f aca="false">$N$6</f>
        <v>0.3</v>
      </c>
      <c r="L36" s="144" t="n">
        <f aca="false">IF( O36=0,0,  MAX(10,INT(K36*O36))   )</f>
        <v>0</v>
      </c>
      <c r="M36" s="135" t="n">
        <f aca="false">P36</f>
        <v>28</v>
      </c>
      <c r="N36" s="136" t="n">
        <f aca="false">ROUND(L36*M36,2)</f>
        <v>0</v>
      </c>
      <c r="O36" s="145" t="n">
        <f aca="false">IF(A35=0,0,   MAX( 10, INT(I36*H36) )   )</f>
        <v>0</v>
      </c>
      <c r="P36" s="135" t="n">
        <f aca="false">IF(D36="","",VLOOKUP(D36,matriz_codigo_prezos,6,FALSE()))</f>
        <v>28</v>
      </c>
      <c r="Q36" s="138" t="n">
        <f aca="false">IF(O36="","",ROUND(O36*P36,2))</f>
        <v>0</v>
      </c>
      <c r="R36" s="147"/>
    </row>
    <row r="37" customFormat="false" ht="17.9" hidden="false" customHeight="false" outlineLevel="0" collapsed="false">
      <c r="A37" s="128"/>
      <c r="B37" s="128"/>
      <c r="C37" s="36"/>
      <c r="D37" s="139" t="s">
        <v>72</v>
      </c>
      <c r="E37" s="130" t="str">
        <f aca="false">IF(D37="","",VLOOKUP(D37,matriz_codigo_prezos,2,FALSE()))</f>
        <v>Ensaio de Carga con Placa de 30cm UNE 103808 ou equivalente. Non inclúe preparación do dispositivo a reacción</v>
      </c>
      <c r="F37" s="131" t="n">
        <v>3500</v>
      </c>
      <c r="G37" s="129" t="s">
        <v>68</v>
      </c>
      <c r="H37" s="132" t="n">
        <v>1</v>
      </c>
      <c r="I37" s="133" t="n">
        <f aca="false">IF( A35=0,0,ROUNDUP(A35/F37,0))</f>
        <v>0</v>
      </c>
      <c r="J37" s="146" t="s">
        <v>71</v>
      </c>
      <c r="K37" s="134" t="n">
        <f aca="false">$N$6</f>
        <v>0.3</v>
      </c>
      <c r="L37" s="144" t="n">
        <f aca="false">IF( O37=0,0,  MAX( 1, INT(O37*K37) )  )</f>
        <v>0</v>
      </c>
      <c r="M37" s="135" t="n">
        <f aca="false">P37</f>
        <v>181</v>
      </c>
      <c r="N37" s="136" t="n">
        <f aca="false">ROUND(L37*M37,2)</f>
        <v>0</v>
      </c>
      <c r="O37" s="137" t="n">
        <f aca="false">INT(I37*H37)</f>
        <v>0</v>
      </c>
      <c r="P37" s="135" t="n">
        <f aca="false">IF(D37="","",VLOOKUP(D37,matriz_codigo_prezos,6,FALSE()))</f>
        <v>181</v>
      </c>
      <c r="Q37" s="138" t="n">
        <f aca="false">IF(O37="","",ROUND(O37*P37,2))</f>
        <v>0</v>
      </c>
      <c r="R37" s="147"/>
    </row>
    <row r="38" customFormat="false" ht="50.7" hidden="false" customHeight="false" outlineLevel="0" collapsed="false">
      <c r="A38" s="115"/>
      <c r="B38" s="116" t="s">
        <v>68</v>
      </c>
      <c r="C38" s="148" t="s">
        <v>73</v>
      </c>
      <c r="D38" s="118"/>
      <c r="E38" s="119"/>
      <c r="F38" s="118"/>
      <c r="G38" s="120"/>
      <c r="H38" s="120"/>
      <c r="I38" s="120"/>
      <c r="J38" s="133"/>
      <c r="K38" s="143"/>
      <c r="L38" s="149"/>
      <c r="M38" s="135"/>
      <c r="N38" s="141"/>
      <c r="O38" s="150"/>
      <c r="P38" s="135"/>
      <c r="Q38" s="136"/>
      <c r="R38" s="127"/>
    </row>
    <row r="39" customFormat="false" ht="26.1" hidden="false" customHeight="false" outlineLevel="0" collapsed="false">
      <c r="A39" s="128"/>
      <c r="B39" s="128"/>
      <c r="C39" s="36"/>
      <c r="D39" s="139" t="s">
        <v>70</v>
      </c>
      <c r="E39" s="130" t="str">
        <f aca="false">IF(D39="","",VLOOKUP(D39,matriz_codigo_prezos,2,FALSE()))</f>
        <v>Determinación da densidade "in situ", incluíndo humidade por medio de isótopos radiactivos (mínimo  10 determinacións) UNE 103900 ou equivalente</v>
      </c>
      <c r="F39" s="131" t="n">
        <v>5000</v>
      </c>
      <c r="G39" s="129" t="s">
        <v>68</v>
      </c>
      <c r="H39" s="144" t="n">
        <v>5</v>
      </c>
      <c r="I39" s="133" t="n">
        <f aca="false">IF( A38=0,0, ROUNDUP(A38/F39,    0))</f>
        <v>0</v>
      </c>
      <c r="J39" s="146" t="s">
        <v>71</v>
      </c>
      <c r="K39" s="134" t="n">
        <f aca="false">$N$6</f>
        <v>0.3</v>
      </c>
      <c r="L39" s="144" t="n">
        <f aca="false">IF( O39&lt;&gt;0,  MAX(10,INT(K39*O39)),0  )</f>
        <v>0</v>
      </c>
      <c r="M39" s="135" t="n">
        <f aca="false">P39</f>
        <v>28</v>
      </c>
      <c r="N39" s="136" t="n">
        <f aca="false">ROUND(L39*M39,2)</f>
        <v>0</v>
      </c>
      <c r="O39" s="145" t="n">
        <f aca="false">IF(A38=0,0,   MAX( 10, INT(I39*H39) )   )</f>
        <v>0</v>
      </c>
      <c r="P39" s="135" t="n">
        <f aca="false">IF(D39="","",VLOOKUP(D39,matriz_codigo_prezos,6,FALSE()))</f>
        <v>28</v>
      </c>
      <c r="Q39" s="138" t="n">
        <f aca="false">IF(O39="","",ROUND(O39*P39,2))</f>
        <v>0</v>
      </c>
      <c r="R39" s="147"/>
    </row>
    <row r="40" customFormat="false" ht="17.9" hidden="false" customHeight="false" outlineLevel="0" collapsed="false">
      <c r="A40" s="128"/>
      <c r="B40" s="128"/>
      <c r="C40" s="36"/>
      <c r="D40" s="139" t="s">
        <v>72</v>
      </c>
      <c r="E40" s="130" t="str">
        <f aca="false">IF(D40="","",VLOOKUP(D40,matriz_codigo_prezos,2,FALSE()))</f>
        <v>Ensaio de Carga con Placa de 30cm UNE 103808 ou equivalente. Non inclúe preparación do dispositivo a reacción</v>
      </c>
      <c r="F40" s="131" t="n">
        <v>5000</v>
      </c>
      <c r="G40" s="129" t="s">
        <v>68</v>
      </c>
      <c r="H40" s="144" t="n">
        <v>1</v>
      </c>
      <c r="I40" s="133" t="n">
        <f aca="false">IF( A38=0,0,ROUNDUP(A38/F40,   0))</f>
        <v>0</v>
      </c>
      <c r="J40" s="146" t="s">
        <v>71</v>
      </c>
      <c r="K40" s="134" t="n">
        <f aca="false">$N$6</f>
        <v>0.3</v>
      </c>
      <c r="L40" s="144" t="n">
        <f aca="false">IF( O40&lt;&gt;0,  MAX( 1, INT(O40*K40) ), 0 )</f>
        <v>0</v>
      </c>
      <c r="M40" s="135" t="n">
        <f aca="false">P40</f>
        <v>181</v>
      </c>
      <c r="N40" s="136" t="n">
        <f aca="false">ROUND(L40*M40,2)</f>
        <v>0</v>
      </c>
      <c r="O40" s="137" t="n">
        <f aca="false">INT(I40*H40)</f>
        <v>0</v>
      </c>
      <c r="P40" s="135" t="n">
        <f aca="false">IF(D40="","",VLOOKUP(D40,matriz_codigo_prezos,6,FALSE()))</f>
        <v>181</v>
      </c>
      <c r="Q40" s="138" t="n">
        <f aca="false">IF(O40="","",ROUND(O40*P40,2))</f>
        <v>0</v>
      </c>
      <c r="R40" s="147"/>
    </row>
    <row r="41" customFormat="false" ht="50.7" hidden="false" customHeight="false" outlineLevel="0" collapsed="false">
      <c r="A41" s="115"/>
      <c r="B41" s="116" t="s">
        <v>68</v>
      </c>
      <c r="C41" s="148" t="s">
        <v>74</v>
      </c>
      <c r="D41" s="118"/>
      <c r="E41" s="119"/>
      <c r="F41" s="118"/>
      <c r="G41" s="120"/>
      <c r="H41" s="120"/>
      <c r="I41" s="120"/>
      <c r="J41" s="133"/>
      <c r="K41" s="143"/>
      <c r="L41" s="149"/>
      <c r="M41" s="135"/>
      <c r="N41" s="141"/>
      <c r="O41" s="150"/>
      <c r="P41" s="135"/>
      <c r="Q41" s="136"/>
      <c r="R41" s="127"/>
    </row>
    <row r="42" customFormat="false" ht="26.1" hidden="false" customHeight="false" outlineLevel="0" collapsed="false">
      <c r="A42" s="128"/>
      <c r="B42" s="128"/>
      <c r="C42" s="36"/>
      <c r="D42" s="139" t="s">
        <v>70</v>
      </c>
      <c r="E42" s="130" t="str">
        <f aca="false">IF(D42="","",VLOOKUP(D42,matriz_codigo_prezos,2,FALSE()))</f>
        <v>Determinación da densidade "in situ", incluíndo humidade por medio de isótopos radiactivos (mínimo  10 determinacións) UNE 103900 ou equivalente</v>
      </c>
      <c r="F42" s="131" t="n">
        <v>10000</v>
      </c>
      <c r="G42" s="129" t="s">
        <v>68</v>
      </c>
      <c r="H42" s="132" t="n">
        <v>5</v>
      </c>
      <c r="I42" s="133" t="n">
        <f aca="false">IF(A41="",0,IF( A41&lt;&gt;0, ROUNDUP(A41/F42,    0)))</f>
        <v>0</v>
      </c>
      <c r="J42" s="146" t="s">
        <v>71</v>
      </c>
      <c r="K42" s="134" t="n">
        <f aca="false">$N$6</f>
        <v>0.3</v>
      </c>
      <c r="L42" s="144" t="n">
        <f aca="false">IF( O42&lt;&gt;0,  MAX(10,INT(K42*O42)),0  )</f>
        <v>0</v>
      </c>
      <c r="M42" s="135" t="n">
        <f aca="false">P42</f>
        <v>28</v>
      </c>
      <c r="N42" s="136" t="n">
        <f aca="false">ROUND(L42*M42,2)</f>
        <v>0</v>
      </c>
      <c r="O42" s="145" t="n">
        <f aca="false">IF(A41=0,0, MAX( 10, INT(I42*H42) )   )</f>
        <v>0</v>
      </c>
      <c r="P42" s="135" t="n">
        <f aca="false">IF(D42="","",VLOOKUP(D42,matriz_codigo_prezos,6,FALSE()))</f>
        <v>28</v>
      </c>
      <c r="Q42" s="138" t="n">
        <f aca="false">IF(O42="","",ROUND(O42*P42,2))</f>
        <v>0</v>
      </c>
      <c r="R42" s="147"/>
    </row>
    <row r="43" customFormat="false" ht="17.9" hidden="false" customHeight="false" outlineLevel="0" collapsed="false">
      <c r="A43" s="128"/>
      <c r="B43" s="128"/>
      <c r="C43" s="36"/>
      <c r="D43" s="139" t="s">
        <v>72</v>
      </c>
      <c r="E43" s="130" t="str">
        <f aca="false">IF(D43="","",VLOOKUP(D43,matriz_codigo_prezos,2,FALSE()))</f>
        <v>Ensaio de Carga con Placa de 30cm UNE 103808 ou equivalente. Non inclúe preparación do dispositivo a reacción</v>
      </c>
      <c r="F43" s="131" t="n">
        <v>10000</v>
      </c>
      <c r="G43" s="129" t="s">
        <v>68</v>
      </c>
      <c r="H43" s="132" t="n">
        <v>1</v>
      </c>
      <c r="I43" s="133" t="n">
        <f aca="false">IF( A41=0,0,ROUNDUP(A41/F43,   0))</f>
        <v>0</v>
      </c>
      <c r="J43" s="146" t="s">
        <v>71</v>
      </c>
      <c r="K43" s="134" t="n">
        <f aca="false">$N$6</f>
        <v>0.3</v>
      </c>
      <c r="L43" s="144" t="n">
        <f aca="false">IF( O43&lt;&gt;0,  MAX( 1, INT(O43*K43) ), 0 )</f>
        <v>0</v>
      </c>
      <c r="M43" s="135" t="n">
        <f aca="false">P43</f>
        <v>181</v>
      </c>
      <c r="N43" s="136" t="n">
        <f aca="false">ROUND(L43*M43,2)</f>
        <v>0</v>
      </c>
      <c r="O43" s="137" t="n">
        <f aca="false">INT(I43*H43)</f>
        <v>0</v>
      </c>
      <c r="P43" s="135" t="n">
        <f aca="false">IF(D43="","",VLOOKUP(D43,matriz_codigo_prezos,6,FALSE()))</f>
        <v>181</v>
      </c>
      <c r="Q43" s="138" t="n">
        <f aca="false">IF(O43="","",ROUND(O43*P43,2))</f>
        <v>0</v>
      </c>
      <c r="R43" s="147"/>
    </row>
    <row r="44" customFormat="false" ht="13.8" hidden="false" customHeight="false" outlineLevel="0" collapsed="false">
      <c r="A44" s="128"/>
      <c r="B44" s="128"/>
      <c r="C44" s="73"/>
      <c r="D44" s="139"/>
      <c r="E44" s="130" t="str">
        <f aca="false">IF(D44="","",VLOOKUP(D44,matriz_codigo_prezos,2,FALSE()))</f>
        <v/>
      </c>
      <c r="F44" s="131"/>
      <c r="G44" s="129"/>
      <c r="H44" s="132"/>
      <c r="I44" s="133"/>
      <c r="J44" s="133"/>
      <c r="K44" s="134"/>
      <c r="L44" s="129"/>
      <c r="M44" s="135"/>
      <c r="N44" s="136"/>
      <c r="O44" s="137"/>
      <c r="P44" s="135"/>
      <c r="Q44" s="138"/>
      <c r="R44" s="151"/>
    </row>
    <row r="45" s="36" customFormat="true" ht="13.8" hidden="false" customHeight="false" outlineLevel="0" collapsed="false">
      <c r="A45" s="101" t="s">
        <v>75</v>
      </c>
      <c r="B45" s="101"/>
      <c r="C45" s="101"/>
      <c r="D45" s="101"/>
      <c r="E45" s="102" t="str">
        <f aca="false">IF(D45="","",VLOOKUP(D45,matriz_codigo_prezos,2,FALSE()))</f>
        <v/>
      </c>
      <c r="F45" s="101"/>
      <c r="G45" s="103"/>
      <c r="H45" s="103"/>
      <c r="I45" s="103"/>
      <c r="J45" s="103"/>
      <c r="K45" s="103"/>
      <c r="L45" s="103"/>
      <c r="M45" s="103"/>
      <c r="N45" s="103"/>
      <c r="O45" s="103"/>
      <c r="P45" s="103"/>
      <c r="Q45" s="103"/>
      <c r="R45" s="104"/>
      <c r="U45" s="152"/>
    </row>
    <row r="46" customFormat="false" ht="13.8" hidden="false" customHeight="false" outlineLevel="0" collapsed="false">
      <c r="A46" s="106" t="s">
        <v>53</v>
      </c>
      <c r="B46" s="106"/>
      <c r="C46" s="106"/>
      <c r="D46" s="106"/>
      <c r="E46" s="107"/>
      <c r="F46" s="106"/>
      <c r="G46" s="108"/>
      <c r="H46" s="108"/>
      <c r="I46" s="108"/>
      <c r="J46" s="109"/>
      <c r="K46" s="110"/>
      <c r="L46" s="109"/>
      <c r="M46" s="111"/>
      <c r="N46" s="95"/>
      <c r="O46" s="96"/>
      <c r="P46" s="111"/>
      <c r="Q46" s="97"/>
      <c r="R46" s="112"/>
      <c r="S46" s="42"/>
      <c r="T46" s="42"/>
      <c r="U46" s="42"/>
      <c r="V46" s="42"/>
      <c r="W46" s="42"/>
      <c r="X46" s="42"/>
      <c r="Y46" s="42"/>
      <c r="Z46" s="42"/>
      <c r="AA46" s="42"/>
      <c r="AB46" s="42"/>
      <c r="AC46" s="113"/>
      <c r="AD46" s="113"/>
      <c r="AE46" s="113"/>
      <c r="AF46" s="113"/>
      <c r="AG46" s="113"/>
      <c r="AH46" s="113"/>
      <c r="AI46" s="113"/>
      <c r="AJ46" s="113"/>
      <c r="AK46" s="113"/>
      <c r="AL46" s="113"/>
      <c r="AM46" s="113"/>
      <c r="AN46" s="113"/>
      <c r="AO46" s="113"/>
      <c r="AP46" s="113"/>
      <c r="AQ46" s="113"/>
      <c r="AR46" s="113"/>
      <c r="AS46" s="113"/>
      <c r="AT46" s="113"/>
      <c r="AU46" s="113"/>
      <c r="AV46" s="113"/>
      <c r="AW46" s="113"/>
      <c r="AX46" s="113"/>
      <c r="AY46" s="113"/>
      <c r="AZ46" s="113"/>
      <c r="BA46" s="113"/>
      <c r="BB46" s="113"/>
      <c r="BC46" s="113"/>
      <c r="BD46" s="113"/>
      <c r="BE46" s="113"/>
      <c r="BF46" s="113"/>
      <c r="BG46" s="113"/>
      <c r="BH46" s="113"/>
      <c r="BI46" s="113"/>
      <c r="BJ46" s="113"/>
      <c r="BK46" s="113"/>
      <c r="BL46" s="113"/>
      <c r="AME46" s="114"/>
      <c r="AMF46" s="114"/>
      <c r="AMG46" s="114"/>
      <c r="AMH46" s="114"/>
      <c r="AMI46" s="114"/>
      <c r="AMJ46" s="114"/>
    </row>
    <row r="47" customFormat="false" ht="42.5" hidden="false" customHeight="false" outlineLevel="0" collapsed="false">
      <c r="A47" s="115"/>
      <c r="B47" s="116" t="s">
        <v>54</v>
      </c>
      <c r="C47" s="148" t="s">
        <v>76</v>
      </c>
      <c r="D47" s="118"/>
      <c r="E47" s="119"/>
      <c r="F47" s="118"/>
      <c r="G47" s="120"/>
      <c r="H47" s="120"/>
      <c r="I47" s="120"/>
      <c r="J47" s="133"/>
      <c r="K47" s="153"/>
      <c r="L47" s="129"/>
      <c r="M47" s="135"/>
      <c r="N47" s="154"/>
      <c r="O47" s="137"/>
      <c r="P47" s="135"/>
      <c r="Q47" s="136"/>
      <c r="R47" s="127"/>
    </row>
    <row r="48" customFormat="false" ht="17.9" hidden="false" customHeight="false" outlineLevel="0" collapsed="false">
      <c r="A48" s="155"/>
      <c r="B48" s="155"/>
      <c r="C48" s="36"/>
      <c r="D48" s="139" t="s">
        <v>77</v>
      </c>
      <c r="E48" s="130" t="str">
        <f aca="false">IF(D48="","",VLOOKUP(D48,matriz_codigo_prezos,2,FALSE()))</f>
        <v>Estabilidade de áridos e fragmentos de roca fronte a acción de inmersión en auga UNE 146510 ou equivalente</v>
      </c>
      <c r="F48" s="131" t="n">
        <v>20000</v>
      </c>
      <c r="G48" s="129" t="s">
        <v>54</v>
      </c>
      <c r="H48" s="132" t="n">
        <v>1</v>
      </c>
      <c r="I48" s="133" t="n">
        <f aca="false">IF($A$47="",0,IF(($A$47/F48)&gt;1, ROUNDUP($A$47/F48,0), 1))</f>
        <v>0</v>
      </c>
      <c r="J48" s="133"/>
      <c r="K48" s="134" t="n">
        <f aca="false">$N$6</f>
        <v>0.3</v>
      </c>
      <c r="L48" s="129" t="n">
        <f aca="false">IF(O48=0,0,ROUNDUP(O48*K48,0))</f>
        <v>0</v>
      </c>
      <c r="M48" s="135" t="n">
        <f aca="false">P48</f>
        <v>173</v>
      </c>
      <c r="N48" s="136" t="n">
        <f aca="false">ROUND(L48*M48,2)</f>
        <v>0</v>
      </c>
      <c r="O48" s="137" t="n">
        <f aca="false">INT(I48*H48)</f>
        <v>0</v>
      </c>
      <c r="P48" s="135" t="n">
        <f aca="false">IF(D48="","",VLOOKUP(D48,matriz_codigo_prezos,6,FALSE()))</f>
        <v>173</v>
      </c>
      <c r="Q48" s="138" t="n">
        <f aca="false">IF(O48="","",ROUND(O48*P48,2))</f>
        <v>0</v>
      </c>
      <c r="R48" s="112"/>
    </row>
    <row r="49" customFormat="false" ht="13.8" hidden="false" customHeight="false" outlineLevel="0" collapsed="false">
      <c r="A49" s="155"/>
      <c r="B49" s="155"/>
      <c r="C49" s="36"/>
      <c r="D49" s="139" t="s">
        <v>78</v>
      </c>
      <c r="E49" s="130" t="str">
        <f aca="false">IF(D49="","",VLOOKUP(D49,matriz_codigo_prezos,2,FALSE()))</f>
        <v>Análise granulométrica de pedraplen UNE 103101 ou equivalente</v>
      </c>
      <c r="F49" s="131" t="n">
        <v>20000</v>
      </c>
      <c r="G49" s="129" t="s">
        <v>54</v>
      </c>
      <c r="H49" s="132" t="n">
        <v>1</v>
      </c>
      <c r="I49" s="133" t="n">
        <f aca="false">IF($A$47="",0,IF(($A$47/F49)&gt;1, ROUNDUP($A$47/F49,0), 1))</f>
        <v>0</v>
      </c>
      <c r="J49" s="133"/>
      <c r="K49" s="134" t="n">
        <f aca="false">$N$6</f>
        <v>0.3</v>
      </c>
      <c r="L49" s="129" t="n">
        <f aca="false">IF(O49=0,0,ROUNDUP(O49*K49,0))</f>
        <v>0</v>
      </c>
      <c r="M49" s="135" t="n">
        <f aca="false">P49</f>
        <v>69</v>
      </c>
      <c r="N49" s="136" t="n">
        <f aca="false">ROUND(L49*M49,2)</f>
        <v>0</v>
      </c>
      <c r="O49" s="137" t="n">
        <f aca="false">INT(I49*H49)</f>
        <v>0</v>
      </c>
      <c r="P49" s="135" t="n">
        <f aca="false">IF(D49="","",VLOOKUP(D49,matriz_codigo_prezos,6,FALSE()))</f>
        <v>69</v>
      </c>
      <c r="Q49" s="138" t="n">
        <f aca="false">IF(O49="","",ROUND(O49*P49,2))</f>
        <v>0</v>
      </c>
      <c r="R49" s="112"/>
    </row>
    <row r="50" customFormat="false" ht="13.8" hidden="false" customHeight="false" outlineLevel="0" collapsed="false">
      <c r="A50" s="106" t="s">
        <v>79</v>
      </c>
      <c r="B50" s="106"/>
      <c r="C50" s="106"/>
      <c r="D50" s="106"/>
      <c r="E50" s="107" t="str">
        <f aca="false">IF(D50="","",VLOOKUP(D50,matriz_codigo_prezos,2,FALSE()))</f>
        <v/>
      </c>
      <c r="F50" s="106"/>
      <c r="G50" s="108"/>
      <c r="H50" s="108"/>
      <c r="I50" s="108"/>
      <c r="J50" s="133"/>
      <c r="K50" s="142"/>
      <c r="L50" s="129"/>
      <c r="M50" s="135"/>
      <c r="N50" s="141"/>
      <c r="O50" s="137"/>
      <c r="P50" s="135"/>
      <c r="Q50" s="138"/>
      <c r="R50" s="112"/>
    </row>
    <row r="51" customFormat="false" ht="50.7" hidden="false" customHeight="false" outlineLevel="0" collapsed="false">
      <c r="A51" s="156"/>
      <c r="B51" s="116" t="s">
        <v>68</v>
      </c>
      <c r="C51" s="148" t="s">
        <v>80</v>
      </c>
      <c r="D51" s="118"/>
      <c r="E51" s="119"/>
      <c r="F51" s="118"/>
      <c r="G51" s="120"/>
      <c r="H51" s="120"/>
      <c r="I51" s="120"/>
      <c r="J51" s="133"/>
      <c r="K51" s="153"/>
      <c r="L51" s="129"/>
      <c r="M51" s="135"/>
      <c r="N51" s="136"/>
      <c r="O51" s="137"/>
      <c r="P51" s="135"/>
      <c r="Q51" s="136"/>
      <c r="R51" s="127"/>
    </row>
    <row r="52" customFormat="false" ht="17.9" hidden="false" customHeight="false" outlineLevel="0" collapsed="false">
      <c r="A52" s="155"/>
      <c r="B52" s="155"/>
      <c r="C52" s="36"/>
      <c r="D52" s="139" t="s">
        <v>81</v>
      </c>
      <c r="E52" s="130" t="str">
        <f aca="false">IF(D52="","",VLOOKUP(D52,matriz_codigo_prezos,2,FALSE()))</f>
        <v>Ensaio de pegada en terreos para control de compactación UNE 103407 ou equivalente</v>
      </c>
      <c r="F52" s="131" t="n">
        <v>5000</v>
      </c>
      <c r="G52" s="157" t="s">
        <v>68</v>
      </c>
      <c r="H52" s="158" t="n">
        <v>1</v>
      </c>
      <c r="I52" s="133" t="n">
        <f aca="false">IF( A51=0,0, ROUNDUP(A51/F52,    0))</f>
        <v>0</v>
      </c>
      <c r="J52" s="146" t="s">
        <v>71</v>
      </c>
      <c r="K52" s="134" t="n">
        <f aca="false">$N$6</f>
        <v>0.3</v>
      </c>
      <c r="L52" s="144" t="n">
        <f aca="false">IF( O52&lt;&gt;0,  MAX( 1, INT(O52*K52) ), 0 )</f>
        <v>0</v>
      </c>
      <c r="M52" s="135" t="n">
        <f aca="false">P52</f>
        <v>181</v>
      </c>
      <c r="N52" s="136" t="n">
        <f aca="false">ROUND(L52*M52,2)</f>
        <v>0</v>
      </c>
      <c r="O52" s="137" t="n">
        <f aca="false">INT(I52*H52)</f>
        <v>0</v>
      </c>
      <c r="P52" s="135" t="n">
        <f aca="false">IF(D52="","",VLOOKUP(D52,matriz_codigo_prezos,6,FALSE()))</f>
        <v>181</v>
      </c>
      <c r="Q52" s="138" t="n">
        <f aca="false">IF(O52="","",ROUND(O52*P52,2))</f>
        <v>0</v>
      </c>
      <c r="R52" s="112"/>
    </row>
    <row r="53" customFormat="false" ht="13.8" hidden="false" customHeight="false" outlineLevel="0" collapsed="false">
      <c r="C53" s="73"/>
      <c r="D53" s="139"/>
      <c r="E53" s="130" t="str">
        <f aca="false">IF(D53="","",VLOOKUP(D53,matriz_codigo_prezos,2,FALSE()))</f>
        <v/>
      </c>
      <c r="F53" s="25"/>
      <c r="G53" s="121"/>
      <c r="H53" s="121"/>
      <c r="I53" s="133"/>
      <c r="J53" s="133"/>
      <c r="K53" s="159"/>
      <c r="L53" s="129"/>
      <c r="M53" s="135"/>
      <c r="N53" s="160"/>
      <c r="O53" s="137"/>
      <c r="P53" s="135"/>
      <c r="Q53" s="138"/>
      <c r="R53" s="112"/>
    </row>
    <row r="54" s="36" customFormat="true" ht="13.8" hidden="false" customHeight="false" outlineLevel="0" collapsed="false">
      <c r="A54" s="101" t="s">
        <v>82</v>
      </c>
      <c r="B54" s="101"/>
      <c r="C54" s="101"/>
      <c r="D54" s="101"/>
      <c r="E54" s="102" t="str">
        <f aca="false">IF(D54="","",VLOOKUP(D54,matriz_codigo_prezos,2,FALSE()))</f>
        <v/>
      </c>
      <c r="F54" s="101"/>
      <c r="G54" s="103"/>
      <c r="H54" s="103"/>
      <c r="I54" s="103"/>
      <c r="J54" s="103"/>
      <c r="K54" s="103"/>
      <c r="L54" s="103"/>
      <c r="M54" s="103"/>
      <c r="N54" s="103"/>
      <c r="O54" s="103"/>
      <c r="P54" s="103"/>
      <c r="Q54" s="103"/>
      <c r="R54" s="104"/>
      <c r="U54" s="152"/>
    </row>
    <row r="55" customFormat="false" ht="13.8" hidden="false" customHeight="false" outlineLevel="0" collapsed="false">
      <c r="A55" s="106" t="s">
        <v>53</v>
      </c>
      <c r="B55" s="106"/>
      <c r="C55" s="106"/>
      <c r="D55" s="106"/>
      <c r="E55" s="107"/>
      <c r="F55" s="106"/>
      <c r="G55" s="108"/>
      <c r="H55" s="108"/>
      <c r="I55" s="108"/>
      <c r="J55" s="109"/>
      <c r="K55" s="110"/>
      <c r="L55" s="109"/>
      <c r="M55" s="111"/>
      <c r="N55" s="95"/>
      <c r="O55" s="96"/>
      <c r="P55" s="111"/>
      <c r="Q55" s="97"/>
      <c r="R55" s="112"/>
      <c r="S55" s="42"/>
      <c r="T55" s="42"/>
      <c r="U55" s="42"/>
      <c r="V55" s="42"/>
      <c r="W55" s="42"/>
      <c r="X55" s="42"/>
      <c r="Y55" s="42"/>
      <c r="Z55" s="42"/>
      <c r="AA55" s="42"/>
      <c r="AB55" s="42"/>
      <c r="AC55" s="113"/>
      <c r="AD55" s="113"/>
      <c r="AE55" s="113"/>
      <c r="AF55" s="113"/>
      <c r="AG55" s="113"/>
      <c r="AH55" s="113"/>
      <c r="AI55" s="113"/>
      <c r="AJ55" s="113"/>
      <c r="AK55" s="113"/>
      <c r="AL55" s="113"/>
      <c r="AM55" s="113"/>
      <c r="AN55" s="113"/>
      <c r="AO55" s="113"/>
      <c r="AP55" s="113"/>
      <c r="AQ55" s="113"/>
      <c r="AR55" s="113"/>
      <c r="AS55" s="113"/>
      <c r="AT55" s="113"/>
      <c r="AU55" s="113"/>
      <c r="AV55" s="113"/>
      <c r="AW55" s="113"/>
      <c r="AX55" s="113"/>
      <c r="AY55" s="113"/>
      <c r="AZ55" s="113"/>
      <c r="BA55" s="113"/>
      <c r="BB55" s="113"/>
      <c r="BC55" s="113"/>
      <c r="BD55" s="113"/>
      <c r="BE55" s="113"/>
      <c r="BF55" s="113"/>
      <c r="BG55" s="113"/>
      <c r="BH55" s="113"/>
      <c r="BI55" s="113"/>
      <c r="BJ55" s="113"/>
      <c r="BK55" s="113"/>
      <c r="BL55" s="113"/>
      <c r="AME55" s="114"/>
      <c r="AMF55" s="114"/>
      <c r="AMG55" s="114"/>
      <c r="AMH55" s="114"/>
      <c r="AMI55" s="114"/>
      <c r="AMJ55" s="114"/>
    </row>
    <row r="56" customFormat="false" ht="67.15" hidden="false" customHeight="false" outlineLevel="0" collapsed="false">
      <c r="A56" s="115"/>
      <c r="B56" s="116" t="s">
        <v>54</v>
      </c>
      <c r="C56" s="148" t="s">
        <v>83</v>
      </c>
      <c r="D56" s="118"/>
      <c r="E56" s="119"/>
      <c r="F56" s="118"/>
      <c r="G56" s="120"/>
      <c r="H56" s="120"/>
      <c r="I56" s="120"/>
      <c r="J56" s="133"/>
      <c r="K56" s="153"/>
      <c r="L56" s="129"/>
      <c r="M56" s="135"/>
      <c r="N56" s="141"/>
      <c r="O56" s="137"/>
      <c r="P56" s="135"/>
      <c r="Q56" s="136"/>
      <c r="R56" s="127"/>
    </row>
    <row r="57" customFormat="false" ht="17.9" hidden="false" customHeight="false" outlineLevel="0" collapsed="false">
      <c r="A57" s="128"/>
      <c r="B57" s="128"/>
      <c r="C57" s="36"/>
      <c r="D57" s="129" t="s">
        <v>56</v>
      </c>
      <c r="E57" s="130" t="str">
        <f aca="false">IF(D57="","",VLOOKUP(D57,matriz_codigo_prezos,2,FALSE()))</f>
        <v>Análise granulométrica por tamizado (solos UNE 103101 ou equivalente) (aridos UNE EN 933-1 ou equivalente)</v>
      </c>
      <c r="F57" s="131" t="n">
        <v>5000</v>
      </c>
      <c r="G57" s="129" t="s">
        <v>54</v>
      </c>
      <c r="H57" s="132" t="n">
        <v>1</v>
      </c>
      <c r="I57" s="133" t="n">
        <f aca="false">IF($A$56="",0,IF(($A$56/F57)&gt;1,ROUNDUP($A$56/F57,0), 1))</f>
        <v>0</v>
      </c>
      <c r="J57" s="133"/>
      <c r="K57" s="134" t="n">
        <f aca="false">$N$6</f>
        <v>0.3</v>
      </c>
      <c r="L57" s="129" t="n">
        <f aca="false">IF(O57=0,0,ROUNDUP(O57*K57,0))</f>
        <v>0</v>
      </c>
      <c r="M57" s="135" t="n">
        <f aca="false">P57</f>
        <v>44</v>
      </c>
      <c r="N57" s="136" t="n">
        <f aca="false">ROUND(L57*M57,2)</f>
        <v>0</v>
      </c>
      <c r="O57" s="137" t="n">
        <f aca="false">INT(I57*H57)</f>
        <v>0</v>
      </c>
      <c r="P57" s="135" t="n">
        <f aca="false">IF(D57="","",VLOOKUP(D57,matriz_codigo_prezos,6,FALSE()))</f>
        <v>44</v>
      </c>
      <c r="Q57" s="138" t="n">
        <f aca="false">IF(O57="","",ROUND(O57*P57,2))</f>
        <v>0</v>
      </c>
      <c r="R57" s="112"/>
    </row>
    <row r="58" customFormat="false" ht="17.9" hidden="false" customHeight="false" outlineLevel="0" collapsed="false">
      <c r="A58" s="128"/>
      <c r="B58" s="128"/>
      <c r="C58" s="36"/>
      <c r="D58" s="139" t="s">
        <v>58</v>
      </c>
      <c r="E58" s="130" t="str">
        <f aca="false">IF(D58="","",VLOOKUP(D58,matriz_codigo_prezos,2,FALSE()))</f>
        <v>Límites de Atterberg. Límite líquido e limite plástico UNE 103103, 103104  ou equivalente</v>
      </c>
      <c r="F58" s="131" t="n">
        <v>5000</v>
      </c>
      <c r="G58" s="129" t="s">
        <v>54</v>
      </c>
      <c r="H58" s="132" t="n">
        <v>1</v>
      </c>
      <c r="I58" s="133" t="n">
        <f aca="false">IF($A$56="",0,IF(($A$56/F58)&gt;1,ROUNDUP($A$56/F58,0), 1))</f>
        <v>0</v>
      </c>
      <c r="J58" s="133"/>
      <c r="K58" s="134" t="n">
        <f aca="false">$N$6</f>
        <v>0.3</v>
      </c>
      <c r="L58" s="129" t="n">
        <f aca="false">IF(O58=0,0,ROUNDUP(O58*K58,0))</f>
        <v>0</v>
      </c>
      <c r="M58" s="135" t="n">
        <f aca="false">P58</f>
        <v>63</v>
      </c>
      <c r="N58" s="136" t="n">
        <f aca="false">ROUND(L58*M58,2)</f>
        <v>0</v>
      </c>
      <c r="O58" s="137" t="n">
        <f aca="false">INT(I58*H58)</f>
        <v>0</v>
      </c>
      <c r="P58" s="135" t="n">
        <f aca="false">IF(D58="","",VLOOKUP(D58,matriz_codigo_prezos,6,FALSE()))</f>
        <v>63</v>
      </c>
      <c r="Q58" s="138" t="n">
        <f aca="false">IF(O58="","",ROUND(O58*P58,2))</f>
        <v>0</v>
      </c>
      <c r="R58" s="112"/>
    </row>
    <row r="59" customFormat="false" ht="17.9" hidden="false" customHeight="false" outlineLevel="0" collapsed="false">
      <c r="A59" s="128"/>
      <c r="B59" s="128"/>
      <c r="C59" s="36"/>
      <c r="D59" s="139" t="s">
        <v>59</v>
      </c>
      <c r="E59" s="130" t="str">
        <f aca="false">IF(D59="","",VLOOKUP(D59,matriz_codigo_prezos,2,FALSE()))</f>
        <v>Determinación do contido de materia orgánica oxidable polo método do permanganato potásico UNE EN 103204  ou equivalente</v>
      </c>
      <c r="F59" s="131" t="n">
        <v>5000</v>
      </c>
      <c r="G59" s="129" t="s">
        <v>54</v>
      </c>
      <c r="H59" s="132" t="n">
        <v>1</v>
      </c>
      <c r="I59" s="133" t="n">
        <f aca="false">IF($A$56="",0,IF(($A$56/F59)&gt;1,ROUNDUP($A$56/F59,0), 1))</f>
        <v>0</v>
      </c>
      <c r="J59" s="133"/>
      <c r="K59" s="134" t="n">
        <f aca="false">$N$6</f>
        <v>0.3</v>
      </c>
      <c r="L59" s="129" t="n">
        <f aca="false">IF(O59=0,0,ROUNDUP(O59*K59,0))</f>
        <v>0</v>
      </c>
      <c r="M59" s="135" t="n">
        <f aca="false">P59</f>
        <v>35</v>
      </c>
      <c r="N59" s="136" t="n">
        <f aca="false">ROUND(L59*M59,2)</f>
        <v>0</v>
      </c>
      <c r="O59" s="137" t="n">
        <f aca="false">INT(I59*H59)</f>
        <v>0</v>
      </c>
      <c r="P59" s="135" t="n">
        <f aca="false">IF(D59="","",VLOOKUP(D59,matriz_codigo_prezos,6,FALSE()))</f>
        <v>35</v>
      </c>
      <c r="Q59" s="138" t="n">
        <f aca="false">IF(O59="","",ROUND(O59*P59,2))</f>
        <v>0</v>
      </c>
      <c r="R59" s="112"/>
    </row>
    <row r="60" customFormat="false" ht="13.8" hidden="false" customHeight="false" outlineLevel="0" collapsed="false">
      <c r="A60" s="128"/>
      <c r="B60" s="128"/>
      <c r="C60" s="36"/>
      <c r="D60" s="139" t="s">
        <v>60</v>
      </c>
      <c r="E60" s="130" t="str">
        <f aca="false">IF(D60="","",VLOOKUP(D60,matriz_codigo_prezos,2,FALSE()))</f>
        <v>Contido de sales solubles en solos UNE 103205 ou equivalente</v>
      </c>
      <c r="F60" s="131" t="n">
        <v>5000</v>
      </c>
      <c r="G60" s="129" t="s">
        <v>54</v>
      </c>
      <c r="H60" s="132" t="n">
        <v>1</v>
      </c>
      <c r="I60" s="133" t="n">
        <f aca="false">IF($A$56="",0,IF(($A$56/F60)&gt;1,ROUNDUP($A$56/F60,0), 1))</f>
        <v>0</v>
      </c>
      <c r="J60" s="133"/>
      <c r="K60" s="134" t="n">
        <f aca="false">$N$6</f>
        <v>0.3</v>
      </c>
      <c r="L60" s="129" t="n">
        <f aca="false">IF(O60=0,0,ROUNDUP(O60*K60,0))</f>
        <v>0</v>
      </c>
      <c r="M60" s="135" t="n">
        <f aca="false">P60</f>
        <v>69</v>
      </c>
      <c r="N60" s="136" t="n">
        <f aca="false">ROUND(L60*M60,2)</f>
        <v>0</v>
      </c>
      <c r="O60" s="137" t="n">
        <f aca="false">INT(I60*H60)</f>
        <v>0</v>
      </c>
      <c r="P60" s="135" t="n">
        <f aca="false">IF(D60="","",VLOOKUP(D60,matriz_codigo_prezos,6,FALSE()))</f>
        <v>69</v>
      </c>
      <c r="Q60" s="138" t="n">
        <f aca="false">IF(O60="","",ROUND(O60*P60,2))</f>
        <v>0</v>
      </c>
      <c r="R60" s="112"/>
    </row>
    <row r="61" customFormat="false" ht="13.8" hidden="false" customHeight="false" outlineLevel="0" collapsed="false">
      <c r="A61" s="128"/>
      <c r="B61" s="128"/>
      <c r="C61" s="36"/>
      <c r="D61" s="139" t="s">
        <v>61</v>
      </c>
      <c r="E61" s="130" t="str">
        <f aca="false">IF(D61="","",VLOOKUP(D61,matriz_codigo_prezos,2,FALSE()))</f>
        <v>Ensaio de compactación Proctor Modificado UNE 103501 ou equivalente</v>
      </c>
      <c r="F61" s="131" t="n">
        <v>5000</v>
      </c>
      <c r="G61" s="129" t="s">
        <v>54</v>
      </c>
      <c r="H61" s="132" t="n">
        <v>1</v>
      </c>
      <c r="I61" s="133" t="n">
        <f aca="false">IF($A$56="",0,IF(($A$56/F61)&gt;1,ROUNDUP($A$56/F61,0), 1))</f>
        <v>0</v>
      </c>
      <c r="J61" s="133"/>
      <c r="K61" s="134" t="n">
        <f aca="false">$N$6</f>
        <v>0.3</v>
      </c>
      <c r="L61" s="129" t="n">
        <f aca="false">IF(O61=0,0,ROUNDUP(O61*K61,0))</f>
        <v>0</v>
      </c>
      <c r="M61" s="135" t="n">
        <f aca="false">P61</f>
        <v>92</v>
      </c>
      <c r="N61" s="136" t="n">
        <f aca="false">ROUND(L61*M61,2)</f>
        <v>0</v>
      </c>
      <c r="O61" s="137" t="n">
        <f aca="false">INT(I61*H61)</f>
        <v>0</v>
      </c>
      <c r="P61" s="135" t="n">
        <f aca="false">IF(D61="","",VLOOKUP(D61,matriz_codigo_prezos,6,FALSE()))</f>
        <v>92</v>
      </c>
      <c r="Q61" s="138" t="n">
        <f aca="false">IF(O61="","",ROUND(O61*P61,2))</f>
        <v>0</v>
      </c>
      <c r="R61" s="112"/>
    </row>
    <row r="62" customFormat="false" ht="13.8" hidden="false" customHeight="false" outlineLevel="0" collapsed="false">
      <c r="A62" s="128"/>
      <c r="B62" s="128"/>
      <c r="C62" s="36"/>
      <c r="D62" s="139" t="s">
        <v>63</v>
      </c>
      <c r="E62" s="130" t="str">
        <f aca="false">IF(D62="","",VLOOKUP(D62,matriz_codigo_prezos,2,FALSE()))</f>
        <v>Índice CBR en Laboratorio, sen incluír Proctor UNE 103502 ou equivalente</v>
      </c>
      <c r="F62" s="131" t="n">
        <v>10000</v>
      </c>
      <c r="G62" s="129" t="s">
        <v>54</v>
      </c>
      <c r="H62" s="132" t="n">
        <v>1</v>
      </c>
      <c r="I62" s="133" t="n">
        <f aca="false">IF($A$56="",0,IF(($A$56/F62)&gt;1,ROUNDUP($A$56/F62,0), 1))</f>
        <v>0</v>
      </c>
      <c r="J62" s="133"/>
      <c r="K62" s="134" t="n">
        <f aca="false">$N$6</f>
        <v>0.3</v>
      </c>
      <c r="L62" s="129" t="n">
        <f aca="false">IF(O62=0,0,ROUNDUP(O62*K62,0))</f>
        <v>0</v>
      </c>
      <c r="M62" s="135" t="n">
        <f aca="false">P62</f>
        <v>83</v>
      </c>
      <c r="N62" s="136" t="n">
        <f aca="false">ROUND(L62*M62,2)</f>
        <v>0</v>
      </c>
      <c r="O62" s="137" t="n">
        <f aca="false">INT(I62*H62)</f>
        <v>0</v>
      </c>
      <c r="P62" s="135" t="n">
        <f aca="false">IF(D62="","",VLOOKUP(D62,matriz_codigo_prezos,6,FALSE()))</f>
        <v>83</v>
      </c>
      <c r="Q62" s="138" t="n">
        <f aca="false">IF(O62="","",ROUND(O62*P62,2))</f>
        <v>0</v>
      </c>
      <c r="R62" s="112"/>
    </row>
    <row r="63" customFormat="false" ht="13.8" hidden="false" customHeight="false" outlineLevel="0" collapsed="false">
      <c r="A63" s="106" t="s">
        <v>84</v>
      </c>
      <c r="B63" s="106"/>
      <c r="C63" s="106"/>
      <c r="D63" s="106"/>
      <c r="E63" s="107" t="str">
        <f aca="false">IF(D63="","",VLOOKUP(D63,matriz_codigo_prezos,2,FALSE()))</f>
        <v/>
      </c>
      <c r="F63" s="106"/>
      <c r="G63" s="108"/>
      <c r="H63" s="108"/>
      <c r="I63" s="108"/>
      <c r="J63" s="133"/>
      <c r="K63" s="142"/>
      <c r="L63" s="129"/>
      <c r="M63" s="135"/>
      <c r="N63" s="141"/>
      <c r="O63" s="137"/>
      <c r="P63" s="135"/>
      <c r="Q63" s="138"/>
      <c r="R63" s="112"/>
    </row>
    <row r="64" customFormat="false" ht="75.35" hidden="false" customHeight="false" outlineLevel="0" collapsed="false">
      <c r="A64" s="115"/>
      <c r="B64" s="116" t="s">
        <v>68</v>
      </c>
      <c r="C64" s="148" t="s">
        <v>85</v>
      </c>
      <c r="D64" s="118"/>
      <c r="E64" s="119"/>
      <c r="F64" s="118"/>
      <c r="G64" s="120"/>
      <c r="H64" s="120"/>
      <c r="I64" s="120"/>
      <c r="J64" s="133"/>
      <c r="K64" s="153"/>
      <c r="L64" s="129"/>
      <c r="M64" s="135"/>
      <c r="N64" s="141"/>
      <c r="O64" s="137"/>
      <c r="P64" s="135"/>
      <c r="Q64" s="136"/>
      <c r="R64" s="127"/>
    </row>
    <row r="65" customFormat="false" ht="26.1" hidden="false" customHeight="false" outlineLevel="0" collapsed="false">
      <c r="A65" s="128"/>
      <c r="B65" s="128"/>
      <c r="C65" s="36"/>
      <c r="D65" s="139" t="s">
        <v>70</v>
      </c>
      <c r="E65" s="130" t="str">
        <f aca="false">IF(D65="","",VLOOKUP(D65,matriz_codigo_prezos,2,FALSE()))</f>
        <v>Determinación da densidade "in situ", incluíndo humidade por medio de isótopos radiactivos (mínimo  10 determinacións) UNE 103900 ou equivalente</v>
      </c>
      <c r="F65" s="131" t="n">
        <v>3500</v>
      </c>
      <c r="G65" s="157" t="s">
        <v>68</v>
      </c>
      <c r="H65" s="158" t="n">
        <v>5</v>
      </c>
      <c r="I65" s="133" t="n">
        <f aca="false">IF(A64=0,0, ROUNDUP(A64/F65,0))</f>
        <v>0</v>
      </c>
      <c r="J65" s="146" t="s">
        <v>71</v>
      </c>
      <c r="K65" s="134" t="n">
        <f aca="false">$N$6</f>
        <v>0.3</v>
      </c>
      <c r="L65" s="144" t="n">
        <f aca="false">IF( O65&lt;&gt;0,  MAX(10,INT(K65*O65)),0  )</f>
        <v>0</v>
      </c>
      <c r="M65" s="135" t="n">
        <f aca="false">P65</f>
        <v>28</v>
      </c>
      <c r="N65" s="136" t="n">
        <f aca="false">ROUND(L65*M65,2)</f>
        <v>0</v>
      </c>
      <c r="O65" s="145" t="n">
        <f aca="false">IF(A64=0,0, MAX( 10, INT(I65*H65) )   )</f>
        <v>0</v>
      </c>
      <c r="P65" s="135" t="n">
        <f aca="false">IF(D65="","",VLOOKUP(D65,matriz_codigo_prezos,6,FALSE()))</f>
        <v>28</v>
      </c>
      <c r="Q65" s="138" t="n">
        <f aca="false">IF(O65="","",ROUND(O65*P65,2))</f>
        <v>0</v>
      </c>
      <c r="R65" s="147"/>
    </row>
    <row r="66" customFormat="false" ht="13.8" hidden="false" customHeight="false" outlineLevel="0" collapsed="false">
      <c r="C66" s="73"/>
      <c r="D66" s="139"/>
      <c r="E66" s="130" t="str">
        <f aca="false">IF(D66="","",VLOOKUP(D66,matriz_codigo_prezos,2,FALSE()))</f>
        <v/>
      </c>
      <c r="F66" s="25"/>
      <c r="G66" s="121"/>
      <c r="H66" s="121"/>
      <c r="I66" s="133"/>
      <c r="J66" s="133"/>
      <c r="K66" s="159"/>
      <c r="L66" s="129"/>
      <c r="M66" s="135"/>
      <c r="N66" s="136"/>
      <c r="O66" s="137"/>
      <c r="P66" s="135"/>
      <c r="Q66" s="138"/>
      <c r="R66" s="112"/>
    </row>
    <row r="67" s="36" customFormat="true" ht="13.8" hidden="false" customHeight="false" outlineLevel="0" collapsed="false">
      <c r="A67" s="101" t="s">
        <v>86</v>
      </c>
      <c r="B67" s="101"/>
      <c r="C67" s="101"/>
      <c r="D67" s="101"/>
      <c r="E67" s="102" t="str">
        <f aca="false">IF(D67="","",VLOOKUP(D67,matriz_codigo_prezos,2,FALSE()))</f>
        <v/>
      </c>
      <c r="F67" s="101"/>
      <c r="G67" s="103"/>
      <c r="H67" s="103"/>
      <c r="I67" s="103"/>
      <c r="J67" s="103"/>
      <c r="K67" s="103"/>
      <c r="L67" s="103"/>
      <c r="M67" s="103"/>
      <c r="N67" s="103"/>
      <c r="O67" s="103"/>
      <c r="P67" s="103"/>
      <c r="Q67" s="103"/>
      <c r="R67" s="104"/>
      <c r="U67" s="152"/>
    </row>
    <row r="68" customFormat="false" ht="13.8" hidden="false" customHeight="false" outlineLevel="0" collapsed="false">
      <c r="A68" s="106" t="s">
        <v>53</v>
      </c>
      <c r="B68" s="106"/>
      <c r="C68" s="106"/>
      <c r="D68" s="106"/>
      <c r="E68" s="107" t="str">
        <f aca="false">IF(D68="","",VLOOKUP(D68,matriz_codigo_prezos,2,FALSE()))</f>
        <v/>
      </c>
      <c r="F68" s="106"/>
      <c r="G68" s="108"/>
      <c r="H68" s="108"/>
      <c r="I68" s="108"/>
      <c r="J68" s="133"/>
      <c r="K68" s="161"/>
      <c r="L68" s="162"/>
      <c r="M68" s="135"/>
      <c r="N68" s="163"/>
      <c r="O68" s="164"/>
      <c r="P68" s="135"/>
      <c r="Q68" s="138"/>
      <c r="R68" s="112"/>
    </row>
    <row r="69" customFormat="false" ht="42.5" hidden="false" customHeight="false" outlineLevel="0" collapsed="false">
      <c r="A69" s="115"/>
      <c r="B69" s="116" t="s">
        <v>54</v>
      </c>
      <c r="C69" s="148" t="s">
        <v>87</v>
      </c>
      <c r="D69" s="118"/>
      <c r="E69" s="119"/>
      <c r="F69" s="118"/>
      <c r="G69" s="120"/>
      <c r="H69" s="120"/>
      <c r="I69" s="120"/>
      <c r="J69" s="133"/>
      <c r="K69" s="165"/>
      <c r="L69" s="162"/>
      <c r="M69" s="135"/>
      <c r="N69" s="163"/>
      <c r="O69" s="164"/>
      <c r="P69" s="135"/>
      <c r="Q69" s="136"/>
      <c r="R69" s="127"/>
    </row>
    <row r="70" customFormat="false" ht="17.9" hidden="false" customHeight="false" outlineLevel="0" collapsed="false">
      <c r="A70" s="128"/>
      <c r="B70" s="128"/>
      <c r="C70" s="36"/>
      <c r="D70" s="129" t="s">
        <v>56</v>
      </c>
      <c r="E70" s="130" t="str">
        <f aca="false">IF(D70="","",VLOOKUP(D70,matriz_codigo_prezos,2,FALSE()))</f>
        <v>Análise granulométrica por tamizado (solos UNE 103101 ou equivalente) (aridos UNE EN 933-1 ou equivalente)</v>
      </c>
      <c r="F70" s="131" t="n">
        <v>5000</v>
      </c>
      <c r="G70" s="129" t="s">
        <v>54</v>
      </c>
      <c r="H70" s="132" t="n">
        <v>1</v>
      </c>
      <c r="I70" s="133" t="n">
        <f aca="false">IF($A$69="",0,IF(($A$69/F70)&gt;1,ROUNDUP($A$69/F70,0), 1))</f>
        <v>0</v>
      </c>
      <c r="J70" s="133"/>
      <c r="K70" s="134" t="n">
        <f aca="false">$N$6</f>
        <v>0.3</v>
      </c>
      <c r="L70" s="129" t="n">
        <f aca="false">IF(O70=0,0,ROUNDUP(O70*K70,0))</f>
        <v>0</v>
      </c>
      <c r="M70" s="135" t="n">
        <f aca="false">P70</f>
        <v>44</v>
      </c>
      <c r="N70" s="136" t="n">
        <f aca="false">ROUND(L70*M70,2)</f>
        <v>0</v>
      </c>
      <c r="O70" s="137" t="n">
        <f aca="false">INT(I70*H70)</f>
        <v>0</v>
      </c>
      <c r="P70" s="135" t="n">
        <f aca="false">IF(D70="","",VLOOKUP(D70,matriz_codigo_prezos,6,FALSE()))</f>
        <v>44</v>
      </c>
      <c r="Q70" s="138" t="n">
        <f aca="false">IF(O70="","",ROUND(O70*P70,2))</f>
        <v>0</v>
      </c>
      <c r="R70" s="112"/>
    </row>
    <row r="71" customFormat="false" ht="17.9" hidden="false" customHeight="false" outlineLevel="0" collapsed="false">
      <c r="A71" s="155"/>
      <c r="B71" s="155"/>
      <c r="C71" s="36"/>
      <c r="D71" s="139" t="s">
        <v>77</v>
      </c>
      <c r="E71" s="130" t="str">
        <f aca="false">IF(D71="","",VLOOKUP(D71,matriz_codigo_prezos,2,FALSE()))</f>
        <v>Estabilidade de áridos e fragmentos de roca fronte a acción de inmersión en auga UNE 146510 ou equivalente</v>
      </c>
      <c r="F71" s="131" t="n">
        <v>5000</v>
      </c>
      <c r="G71" s="129" t="s">
        <v>54</v>
      </c>
      <c r="H71" s="132" t="n">
        <v>1</v>
      </c>
      <c r="I71" s="133" t="n">
        <f aca="false">IF($A$69="",0,IF(($A$69/F71)&gt;1,ROUNDUP($A$69/F71,0), 1))</f>
        <v>0</v>
      </c>
      <c r="J71" s="133"/>
      <c r="K71" s="134" t="n">
        <f aca="false">$N$6</f>
        <v>0.3</v>
      </c>
      <c r="L71" s="129" t="n">
        <f aca="false">IF(O71=0,0,ROUNDUP(O71*K71,0))</f>
        <v>0</v>
      </c>
      <c r="M71" s="135" t="n">
        <f aca="false">P71</f>
        <v>173</v>
      </c>
      <c r="N71" s="136" t="n">
        <f aca="false">ROUND(L71*M71,2)</f>
        <v>0</v>
      </c>
      <c r="O71" s="137" t="n">
        <f aca="false">INT(I71*H71)</f>
        <v>0</v>
      </c>
      <c r="P71" s="135" t="n">
        <f aca="false">IF(D71="","",VLOOKUP(D71,matriz_codigo_prezos,6,FALSE()))</f>
        <v>173</v>
      </c>
      <c r="Q71" s="138" t="n">
        <f aca="false">IF(O71="","",ROUND(O71*P71,2))</f>
        <v>0</v>
      </c>
      <c r="R71" s="112"/>
    </row>
    <row r="72" customFormat="false" ht="13.8" hidden="false" customHeight="false" outlineLevel="0" collapsed="false">
      <c r="A72" s="128"/>
      <c r="B72" s="128"/>
      <c r="C72" s="36"/>
      <c r="D72" s="139" t="s">
        <v>60</v>
      </c>
      <c r="E72" s="130" t="str">
        <f aca="false">IF(D72="","",VLOOKUP(D72,matriz_codigo_prezos,2,FALSE()))</f>
        <v>Contido de sales solubles en solos UNE 103205 ou equivalente</v>
      </c>
      <c r="F72" s="131" t="n">
        <v>5000</v>
      </c>
      <c r="G72" s="129" t="s">
        <v>54</v>
      </c>
      <c r="H72" s="132" t="n">
        <v>1</v>
      </c>
      <c r="I72" s="133" t="n">
        <f aca="false">IF($A$69="",0,IF(($A$69/F72)&gt;1,ROUNDUP($A$69/F72,0), 1))</f>
        <v>0</v>
      </c>
      <c r="J72" s="133"/>
      <c r="K72" s="134" t="n">
        <f aca="false">$N$6</f>
        <v>0.3</v>
      </c>
      <c r="L72" s="129" t="n">
        <f aca="false">IF(O72=0,0,ROUNDUP(O72*K72,0))</f>
        <v>0</v>
      </c>
      <c r="M72" s="135" t="n">
        <f aca="false">P72</f>
        <v>69</v>
      </c>
      <c r="N72" s="136" t="n">
        <f aca="false">ROUND(L72*M72,2)</f>
        <v>0</v>
      </c>
      <c r="O72" s="137" t="n">
        <f aca="false">INT(I72*H72)</f>
        <v>0</v>
      </c>
      <c r="P72" s="135" t="n">
        <f aca="false">IF(D72="","",VLOOKUP(D72,matriz_codigo_prezos,6,FALSE()))</f>
        <v>69</v>
      </c>
      <c r="Q72" s="138" t="n">
        <f aca="false">IF(O72="","",ROUND(O72*P72,2))</f>
        <v>0</v>
      </c>
      <c r="R72" s="112"/>
    </row>
    <row r="73" customFormat="false" ht="17.9" hidden="false" customHeight="false" outlineLevel="0" collapsed="false">
      <c r="A73" s="128"/>
      <c r="B73" s="128"/>
      <c r="C73" s="36"/>
      <c r="D73" s="139" t="s">
        <v>59</v>
      </c>
      <c r="E73" s="130" t="str">
        <f aca="false">IF(D73="","",VLOOKUP(D73,matriz_codigo_prezos,2,FALSE()))</f>
        <v>Determinación do contido de materia orgánica oxidable polo método do permanganato potásico UNE EN 103204  ou equivalente</v>
      </c>
      <c r="F73" s="131" t="n">
        <v>5000</v>
      </c>
      <c r="G73" s="129" t="s">
        <v>54</v>
      </c>
      <c r="H73" s="132" t="n">
        <v>1</v>
      </c>
      <c r="I73" s="133" t="n">
        <f aca="false">IF($A$69="",0,IF(($A$69/F73)&gt;1,ROUNDUP($A$69/F73,0), 1))</f>
        <v>0</v>
      </c>
      <c r="J73" s="133"/>
      <c r="K73" s="134" t="n">
        <f aca="false">$N$6</f>
        <v>0.3</v>
      </c>
      <c r="L73" s="129" t="n">
        <f aca="false">IF(O73=0,0,ROUNDUP(O73*K73,0))</f>
        <v>0</v>
      </c>
      <c r="M73" s="135" t="n">
        <f aca="false">P73</f>
        <v>35</v>
      </c>
      <c r="N73" s="136" t="n">
        <f aca="false">ROUND(L73*M73,2)</f>
        <v>0</v>
      </c>
      <c r="O73" s="137" t="n">
        <f aca="false">INT(I73*H73)</f>
        <v>0</v>
      </c>
      <c r="P73" s="135" t="n">
        <f aca="false">IF(D73="","",VLOOKUP(D73,matriz_codigo_prezos,6,FALSE()))</f>
        <v>35</v>
      </c>
      <c r="Q73" s="138" t="n">
        <f aca="false">IF(O73="","",ROUND(O73*P73,2))</f>
        <v>0</v>
      </c>
      <c r="R73" s="112"/>
    </row>
    <row r="74" customFormat="false" ht="13.8" hidden="false" customHeight="false" outlineLevel="0" collapsed="false">
      <c r="A74" s="128"/>
      <c r="B74" s="128"/>
      <c r="C74" s="36"/>
      <c r="D74" s="139" t="s">
        <v>62</v>
      </c>
      <c r="E74" s="130" t="str">
        <f aca="false">IF(D74="","",VLOOKUP(D74,matriz_codigo_prezos,2,FALSE()))</f>
        <v>Contido de xeso UNE 103206 ou equivalente</v>
      </c>
      <c r="F74" s="131" t="n">
        <v>5000</v>
      </c>
      <c r="G74" s="129" t="s">
        <v>54</v>
      </c>
      <c r="H74" s="132" t="n">
        <v>1</v>
      </c>
      <c r="I74" s="133" t="n">
        <f aca="false">IF($A$69="",0,IF(($A$69/F74)&gt;1,ROUNDUP($A$69/F74,0), 1))</f>
        <v>0</v>
      </c>
      <c r="J74" s="133"/>
      <c r="K74" s="134" t="n">
        <f aca="false">$N$6</f>
        <v>0.3</v>
      </c>
      <c r="L74" s="129" t="n">
        <f aca="false">IF(O74=0,0,ROUNDUP(O74*K74,0))</f>
        <v>0</v>
      </c>
      <c r="M74" s="135" t="n">
        <f aca="false">P74</f>
        <v>69</v>
      </c>
      <c r="N74" s="136" t="n">
        <f aca="false">ROUND(L74*M74,2)</f>
        <v>0</v>
      </c>
      <c r="O74" s="137" t="n">
        <f aca="false">INT(I74*H74)</f>
        <v>0</v>
      </c>
      <c r="P74" s="135" t="n">
        <f aca="false">IF(D74="","",VLOOKUP(D74,matriz_codigo_prezos,6,FALSE()))</f>
        <v>69</v>
      </c>
      <c r="Q74" s="138" t="n">
        <f aca="false">IF(O74="","",ROUND(O74*P74,2))</f>
        <v>0</v>
      </c>
      <c r="R74" s="112"/>
    </row>
    <row r="75" customFormat="false" ht="13.8" hidden="false" customHeight="false" outlineLevel="0" collapsed="false">
      <c r="A75" s="128"/>
      <c r="B75" s="128"/>
      <c r="C75" s="36"/>
      <c r="D75" s="139" t="s">
        <v>61</v>
      </c>
      <c r="E75" s="130" t="str">
        <f aca="false">IF(D75="","",VLOOKUP(D75,matriz_codigo_prezos,2,FALSE()))</f>
        <v>Ensaio de compactación Proctor Modificado UNE 103501 ou equivalente</v>
      </c>
      <c r="F75" s="131" t="n">
        <v>5000</v>
      </c>
      <c r="G75" s="129" t="s">
        <v>54</v>
      </c>
      <c r="H75" s="132" t="n">
        <v>1</v>
      </c>
      <c r="I75" s="133" t="n">
        <f aca="false">IF($A$69="",0,IF(($A$69/F75)&gt;1,ROUNDUP($A$69/F75,0), 1))</f>
        <v>0</v>
      </c>
      <c r="J75" s="133"/>
      <c r="K75" s="134" t="n">
        <f aca="false">$N$6</f>
        <v>0.3</v>
      </c>
      <c r="L75" s="129" t="n">
        <f aca="false">IF(O75=0,0,ROUNDUP(O75*K75,0))</f>
        <v>0</v>
      </c>
      <c r="M75" s="135" t="n">
        <f aca="false">P75</f>
        <v>92</v>
      </c>
      <c r="N75" s="136" t="n">
        <f aca="false">ROUND(L75*M75,2)</f>
        <v>0</v>
      </c>
      <c r="O75" s="137" t="n">
        <f aca="false">INT(I75*H75)</f>
        <v>0</v>
      </c>
      <c r="P75" s="135" t="n">
        <f aca="false">IF(D75="","",VLOOKUP(D75,matriz_codigo_prezos,6,FALSE()))</f>
        <v>92</v>
      </c>
      <c r="Q75" s="138" t="n">
        <f aca="false">IF(O75="","",ROUND(O75*P75,2))</f>
        <v>0</v>
      </c>
      <c r="R75" s="112"/>
    </row>
    <row r="76" customFormat="false" ht="42.5" hidden="false" customHeight="false" outlineLevel="0" collapsed="false">
      <c r="A76" s="115"/>
      <c r="B76" s="116" t="s">
        <v>54</v>
      </c>
      <c r="C76" s="148" t="s">
        <v>88</v>
      </c>
      <c r="D76" s="118"/>
      <c r="E76" s="119"/>
      <c r="F76" s="118"/>
      <c r="G76" s="120"/>
      <c r="H76" s="120"/>
      <c r="I76" s="120"/>
      <c r="J76" s="133"/>
      <c r="K76" s="165"/>
      <c r="L76" s="129"/>
      <c r="M76" s="135"/>
      <c r="N76" s="163"/>
      <c r="O76" s="164"/>
      <c r="P76" s="135"/>
      <c r="Q76" s="136"/>
      <c r="R76" s="127"/>
    </row>
    <row r="77" customFormat="false" ht="17.9" hidden="false" customHeight="false" outlineLevel="0" collapsed="false">
      <c r="A77" s="128"/>
      <c r="B77" s="128"/>
      <c r="C77" s="36"/>
      <c r="D77" s="129" t="s">
        <v>56</v>
      </c>
      <c r="E77" s="130" t="str">
        <f aca="false">IF(D77="","",VLOOKUP(D77,matriz_codigo_prezos,2,FALSE()))</f>
        <v>Análise granulométrica por tamizado (solos UNE 103101 ou equivalente) (aridos UNE EN 933-1 ou equivalente)</v>
      </c>
      <c r="F77" s="131" t="n">
        <v>10000</v>
      </c>
      <c r="G77" s="129" t="s">
        <v>54</v>
      </c>
      <c r="H77" s="132" t="n">
        <v>1</v>
      </c>
      <c r="I77" s="133" t="n">
        <f aca="false">IF($A$76="",0,IF(($A$76/F77)&gt;1,ROUNDUP($A$76/F77,0), 1))</f>
        <v>0</v>
      </c>
      <c r="J77" s="133"/>
      <c r="K77" s="134" t="n">
        <f aca="false">$N$6</f>
        <v>0.3</v>
      </c>
      <c r="L77" s="129" t="n">
        <f aca="false">IF(O77=0,0,ROUNDUP(O77*K77,0))</f>
        <v>0</v>
      </c>
      <c r="M77" s="135" t="n">
        <f aca="false">P77</f>
        <v>44</v>
      </c>
      <c r="N77" s="136" t="n">
        <f aca="false">ROUND(L77*M77,2)</f>
        <v>0</v>
      </c>
      <c r="O77" s="137" t="n">
        <f aca="false">INT(I77*H77)</f>
        <v>0</v>
      </c>
      <c r="P77" s="135" t="n">
        <f aca="false">IF(D77="","",VLOOKUP(D77,matriz_codigo_prezos,6,FALSE()))</f>
        <v>44</v>
      </c>
      <c r="Q77" s="138" t="n">
        <f aca="false">IF(O77="","",ROUND(O77*P77,2))</f>
        <v>0</v>
      </c>
      <c r="R77" s="112"/>
    </row>
    <row r="78" customFormat="false" ht="17.9" hidden="false" customHeight="false" outlineLevel="0" collapsed="false">
      <c r="A78" s="155"/>
      <c r="B78" s="155"/>
      <c r="C78" s="36"/>
      <c r="D78" s="139" t="s">
        <v>77</v>
      </c>
      <c r="E78" s="130" t="str">
        <f aca="false">IF(D78="","",VLOOKUP(D78,matriz_codigo_prezos,2,FALSE()))</f>
        <v>Estabilidade de áridos e fragmentos de roca fronte a acción de inmersión en auga UNE 146510 ou equivalente</v>
      </c>
      <c r="F78" s="131" t="n">
        <v>10000</v>
      </c>
      <c r="G78" s="129" t="s">
        <v>54</v>
      </c>
      <c r="H78" s="132" t="n">
        <v>1</v>
      </c>
      <c r="I78" s="133" t="n">
        <f aca="false">IF($A$76="",0,IF(($A$76/F78)&gt;1,ROUNDUP($A$76/F78,0), 1))</f>
        <v>0</v>
      </c>
      <c r="J78" s="133"/>
      <c r="K78" s="134" t="n">
        <f aca="false">$N$6</f>
        <v>0.3</v>
      </c>
      <c r="L78" s="129" t="n">
        <f aca="false">IF(O78=0,0,ROUNDUP(O78*K78,0))</f>
        <v>0</v>
      </c>
      <c r="M78" s="135" t="n">
        <f aca="false">P78</f>
        <v>173</v>
      </c>
      <c r="N78" s="136" t="n">
        <f aca="false">ROUND(L78*M78,2)</f>
        <v>0</v>
      </c>
      <c r="O78" s="137" t="n">
        <f aca="false">INT(I78*H78)</f>
        <v>0</v>
      </c>
      <c r="P78" s="135" t="n">
        <f aca="false">IF(D78="","",VLOOKUP(D78,matriz_codigo_prezos,6,FALSE()))</f>
        <v>173</v>
      </c>
      <c r="Q78" s="138" t="n">
        <f aca="false">IF(O78="","",ROUND(O78*P78,2))</f>
        <v>0</v>
      </c>
      <c r="R78" s="112"/>
    </row>
    <row r="79" customFormat="false" ht="13.8" hidden="false" customHeight="false" outlineLevel="0" collapsed="false">
      <c r="A79" s="128"/>
      <c r="B79" s="128"/>
      <c r="C79" s="36"/>
      <c r="D79" s="139" t="s">
        <v>60</v>
      </c>
      <c r="E79" s="130" t="str">
        <f aca="false">IF(D79="","",VLOOKUP(D79,matriz_codigo_prezos,2,FALSE()))</f>
        <v>Contido de sales solubles en solos UNE 103205 ou equivalente</v>
      </c>
      <c r="F79" s="131" t="n">
        <v>10000</v>
      </c>
      <c r="G79" s="129" t="s">
        <v>54</v>
      </c>
      <c r="H79" s="132" t="n">
        <v>1</v>
      </c>
      <c r="I79" s="133" t="n">
        <f aca="false">IF($A$76="",0,IF(($A$76/F79)&gt;1,ROUNDUP($A$76/F79,0), 1))</f>
        <v>0</v>
      </c>
      <c r="J79" s="133"/>
      <c r="K79" s="134" t="n">
        <f aca="false">$N$6</f>
        <v>0.3</v>
      </c>
      <c r="L79" s="129" t="n">
        <f aca="false">IF(O79=0,0,ROUNDUP(O79*K79,0))</f>
        <v>0</v>
      </c>
      <c r="M79" s="135" t="n">
        <f aca="false">P79</f>
        <v>69</v>
      </c>
      <c r="N79" s="136" t="n">
        <f aca="false">ROUND(L79*M79,2)</f>
        <v>0</v>
      </c>
      <c r="O79" s="137" t="n">
        <f aca="false">INT(I79*H79)</f>
        <v>0</v>
      </c>
      <c r="P79" s="135" t="n">
        <f aca="false">IF(D79="","",VLOOKUP(D79,matriz_codigo_prezos,6,FALSE()))</f>
        <v>69</v>
      </c>
      <c r="Q79" s="138" t="n">
        <f aca="false">IF(O79="","",ROUND(O79*P79,2))</f>
        <v>0</v>
      </c>
      <c r="R79" s="112"/>
    </row>
    <row r="80" customFormat="false" ht="17.9" hidden="false" customHeight="false" outlineLevel="0" collapsed="false">
      <c r="A80" s="128"/>
      <c r="B80" s="128"/>
      <c r="C80" s="36"/>
      <c r="D80" s="139" t="s">
        <v>59</v>
      </c>
      <c r="E80" s="130" t="str">
        <f aca="false">IF(D80="","",VLOOKUP(D80,matriz_codigo_prezos,2,FALSE()))</f>
        <v>Determinación do contido de materia orgánica oxidable polo método do permanganato potásico UNE EN 103204  ou equivalente</v>
      </c>
      <c r="F80" s="131" t="n">
        <v>10000</v>
      </c>
      <c r="G80" s="129" t="s">
        <v>54</v>
      </c>
      <c r="H80" s="132" t="n">
        <v>1</v>
      </c>
      <c r="I80" s="133" t="n">
        <f aca="false">IF($A$76="",0,IF(($A$76/F80)&gt;1,ROUNDUP($A$76/F80,0), 1))</f>
        <v>0</v>
      </c>
      <c r="J80" s="133"/>
      <c r="K80" s="134" t="n">
        <f aca="false">$N$6</f>
        <v>0.3</v>
      </c>
      <c r="L80" s="129" t="n">
        <f aca="false">IF(O80=0,0,ROUNDUP(O80*K80,0))</f>
        <v>0</v>
      </c>
      <c r="M80" s="135" t="n">
        <f aca="false">P80</f>
        <v>35</v>
      </c>
      <c r="N80" s="136" t="n">
        <f aca="false">ROUND(L80*M80,2)</f>
        <v>0</v>
      </c>
      <c r="O80" s="137" t="n">
        <f aca="false">INT(I80*H80)</f>
        <v>0</v>
      </c>
      <c r="P80" s="135" t="n">
        <f aca="false">IF(D80="","",VLOOKUP(D80,matriz_codigo_prezos,6,FALSE()))</f>
        <v>35</v>
      </c>
      <c r="Q80" s="138" t="n">
        <f aca="false">IF(O80="","",ROUND(O80*P80,2))</f>
        <v>0</v>
      </c>
      <c r="R80" s="112"/>
    </row>
    <row r="81" customFormat="false" ht="13.8" hidden="false" customHeight="false" outlineLevel="0" collapsed="false">
      <c r="A81" s="128"/>
      <c r="B81" s="128"/>
      <c r="C81" s="36"/>
      <c r="D81" s="139" t="s">
        <v>62</v>
      </c>
      <c r="E81" s="130" t="str">
        <f aca="false">IF(D81="","",VLOOKUP(D81,matriz_codigo_prezos,2,FALSE()))</f>
        <v>Contido de xeso UNE 103206 ou equivalente</v>
      </c>
      <c r="F81" s="131" t="n">
        <v>10000</v>
      </c>
      <c r="G81" s="129" t="s">
        <v>54</v>
      </c>
      <c r="H81" s="132" t="n">
        <v>1</v>
      </c>
      <c r="I81" s="133" t="n">
        <f aca="false">IF($A$76="",0,IF(($A$76/F81)&gt;1,ROUNDUP($A$76/F81,0), 1))</f>
        <v>0</v>
      </c>
      <c r="J81" s="133"/>
      <c r="K81" s="134" t="n">
        <f aca="false">$N$6</f>
        <v>0.3</v>
      </c>
      <c r="L81" s="129" t="n">
        <f aca="false">IF(O81=0,0,ROUNDUP(O81*K81,0))</f>
        <v>0</v>
      </c>
      <c r="M81" s="135" t="n">
        <f aca="false">P81</f>
        <v>69</v>
      </c>
      <c r="N81" s="136" t="n">
        <f aca="false">ROUND(L81*M81,2)</f>
        <v>0</v>
      </c>
      <c r="O81" s="137" t="n">
        <f aca="false">INT(I81*H81)</f>
        <v>0</v>
      </c>
      <c r="P81" s="135" t="n">
        <f aca="false">IF(D81="","",VLOOKUP(D81,matriz_codigo_prezos,6,FALSE()))</f>
        <v>69</v>
      </c>
      <c r="Q81" s="138" t="n">
        <f aca="false">IF(O81="","",ROUND(O81*P81,2))</f>
        <v>0</v>
      </c>
      <c r="R81" s="112"/>
    </row>
    <row r="82" customFormat="false" ht="13.8" hidden="false" customHeight="false" outlineLevel="0" collapsed="false">
      <c r="A82" s="128"/>
      <c r="B82" s="128"/>
      <c r="C82" s="36"/>
      <c r="D82" s="139" t="s">
        <v>61</v>
      </c>
      <c r="E82" s="130" t="str">
        <f aca="false">IF(D82="","",VLOOKUP(D82,matriz_codigo_prezos,2,FALSE()))</f>
        <v>Ensaio de compactación Proctor Modificado UNE 103501 ou equivalente</v>
      </c>
      <c r="F82" s="131" t="n">
        <v>10000</v>
      </c>
      <c r="G82" s="129" t="s">
        <v>54</v>
      </c>
      <c r="H82" s="132" t="n">
        <v>1</v>
      </c>
      <c r="I82" s="133" t="n">
        <f aca="false">IF($A$76="",0,IF(($A$76/F82)&gt;1,ROUNDUP($A$76/F82,0), 1))</f>
        <v>0</v>
      </c>
      <c r="J82" s="133"/>
      <c r="K82" s="134" t="n">
        <f aca="false">$N$6</f>
        <v>0.3</v>
      </c>
      <c r="L82" s="129" t="n">
        <f aca="false">IF(O82=0,0,ROUNDUP(O82*K82,0))</f>
        <v>0</v>
      </c>
      <c r="M82" s="135" t="n">
        <f aca="false">P82</f>
        <v>92</v>
      </c>
      <c r="N82" s="136" t="n">
        <f aca="false">ROUND(L82*M82,2)</f>
        <v>0</v>
      </c>
      <c r="O82" s="137" t="n">
        <f aca="false">INT(I82*H82)</f>
        <v>0</v>
      </c>
      <c r="P82" s="135" t="n">
        <f aca="false">IF(D82="","",VLOOKUP(D82,matriz_codigo_prezos,6,FALSE()))</f>
        <v>92</v>
      </c>
      <c r="Q82" s="138" t="n">
        <f aca="false">IF(O82="","",ROUND(O82*P82,2))</f>
        <v>0</v>
      </c>
      <c r="R82" s="112"/>
    </row>
    <row r="83" customFormat="false" ht="13.8" hidden="false" customHeight="false" outlineLevel="0" collapsed="false">
      <c r="A83" s="106" t="s">
        <v>89</v>
      </c>
      <c r="B83" s="106"/>
      <c r="C83" s="106"/>
      <c r="D83" s="106"/>
      <c r="E83" s="107" t="str">
        <f aca="false">IF(D83="","",VLOOKUP(D83,matriz_codigo_prezos,2,FALSE()))</f>
        <v/>
      </c>
      <c r="F83" s="106"/>
      <c r="G83" s="108"/>
      <c r="H83" s="108"/>
      <c r="I83" s="108"/>
      <c r="J83" s="133"/>
      <c r="K83" s="161"/>
      <c r="L83" s="162"/>
      <c r="M83" s="135"/>
      <c r="N83" s="163"/>
      <c r="O83" s="166"/>
      <c r="P83" s="135"/>
      <c r="Q83" s="138"/>
      <c r="R83" s="112"/>
    </row>
    <row r="84" customFormat="false" ht="42.5" hidden="false" customHeight="false" outlineLevel="0" collapsed="false">
      <c r="A84" s="115"/>
      <c r="B84" s="116" t="s">
        <v>68</v>
      </c>
      <c r="C84" s="148" t="s">
        <v>90</v>
      </c>
      <c r="D84" s="118"/>
      <c r="E84" s="119"/>
      <c r="F84" s="118"/>
      <c r="G84" s="120"/>
      <c r="H84" s="120"/>
      <c r="I84" s="120"/>
      <c r="J84" s="167"/>
      <c r="K84" s="165"/>
      <c r="L84" s="162"/>
      <c r="M84" s="135"/>
      <c r="N84" s="163"/>
      <c r="O84" s="166"/>
      <c r="P84" s="135"/>
      <c r="Q84" s="136"/>
      <c r="R84" s="127"/>
    </row>
    <row r="85" customFormat="false" ht="26.1" hidden="false" customHeight="false" outlineLevel="0" collapsed="false">
      <c r="A85" s="128"/>
      <c r="B85" s="128"/>
      <c r="C85" s="36"/>
      <c r="D85" s="139" t="s">
        <v>70</v>
      </c>
      <c r="E85" s="130" t="str">
        <f aca="false">IF(D85="","",VLOOKUP(D85,matriz_codigo_prezos,2,FALSE()))</f>
        <v>Determinación da densidade "in situ", incluíndo humidade por medio de isótopos radiactivos (mínimo  10 determinacións) UNE 103900 ou equivalente</v>
      </c>
      <c r="F85" s="131" t="n">
        <v>3500</v>
      </c>
      <c r="G85" s="129" t="s">
        <v>68</v>
      </c>
      <c r="H85" s="132" t="n">
        <v>5</v>
      </c>
      <c r="I85" s="133" t="n">
        <f aca="false">IF( A84=0,0, ROUNDUP(A84/F85,    0))</f>
        <v>0</v>
      </c>
      <c r="J85" s="146" t="s">
        <v>91</v>
      </c>
      <c r="K85" s="134" t="n">
        <f aca="false">$N$6</f>
        <v>0.3</v>
      </c>
      <c r="L85" s="144" t="n">
        <f aca="false">IF( A84&lt;&gt;0,  MAX(10,INT(H85*I85*K85)),0  )</f>
        <v>0</v>
      </c>
      <c r="M85" s="135" t="n">
        <f aca="false">P85</f>
        <v>28</v>
      </c>
      <c r="N85" s="136" t="n">
        <f aca="false">ROUND(L85*M85,2)</f>
        <v>0</v>
      </c>
      <c r="O85" s="145" t="n">
        <f aca="false">IF(A84=0,0,   MAX( 10, INT(I85*H85) )   )</f>
        <v>0</v>
      </c>
      <c r="P85" s="135" t="n">
        <f aca="false">IF(D85="","",VLOOKUP(D85,matriz_codigo_prezos,6,FALSE()))</f>
        <v>28</v>
      </c>
      <c r="Q85" s="138" t="n">
        <f aca="false">IF(O85="","",ROUND(O85*P85,2))</f>
        <v>0</v>
      </c>
      <c r="R85" s="147"/>
    </row>
    <row r="86" customFormat="false" ht="17.9" hidden="false" customHeight="false" outlineLevel="0" collapsed="false">
      <c r="A86" s="128"/>
      <c r="B86" s="128"/>
      <c r="C86" s="36"/>
      <c r="D86" s="139" t="s">
        <v>72</v>
      </c>
      <c r="E86" s="130" t="str">
        <f aca="false">IF(D86="","",VLOOKUP(D86,matriz_codigo_prezos,2,FALSE()))</f>
        <v>Ensaio de Carga con Placa de 30cm UNE 103808 ou equivalente. Non inclúe preparación do dispositivo a reacción</v>
      </c>
      <c r="F86" s="131" t="n">
        <v>3500</v>
      </c>
      <c r="G86" s="129" t="s">
        <v>68</v>
      </c>
      <c r="H86" s="132" t="n">
        <v>1</v>
      </c>
      <c r="I86" s="133" t="n">
        <f aca="false">IF( A84=0,0,ROUNDUP(A84/F86,   0))</f>
        <v>0</v>
      </c>
      <c r="J86" s="146" t="s">
        <v>91</v>
      </c>
      <c r="K86" s="134" t="n">
        <f aca="false">$N$6</f>
        <v>0.3</v>
      </c>
      <c r="L86" s="144" t="n">
        <f aca="false">IF( A84&lt;&gt;0,  MAX( 1, INT(H86*I86*K86) ), 0 )</f>
        <v>0</v>
      </c>
      <c r="M86" s="135" t="n">
        <f aca="false">P86</f>
        <v>181</v>
      </c>
      <c r="N86" s="136" t="n">
        <f aca="false">ROUND(L86*M86,2)</f>
        <v>0</v>
      </c>
      <c r="O86" s="137" t="n">
        <f aca="false">INT(I86*H86)</f>
        <v>0</v>
      </c>
      <c r="P86" s="135" t="n">
        <f aca="false">IF(D86="","",VLOOKUP(D86,matriz_codigo_prezos,6,FALSE()))</f>
        <v>181</v>
      </c>
      <c r="Q86" s="138" t="n">
        <f aca="false">IF(O86="","",ROUND(O86*P86,2))</f>
        <v>0</v>
      </c>
      <c r="R86" s="147"/>
    </row>
    <row r="87" customFormat="false" ht="42.5" hidden="false" customHeight="false" outlineLevel="0" collapsed="false">
      <c r="A87" s="115"/>
      <c r="B87" s="116" t="s">
        <v>68</v>
      </c>
      <c r="C87" s="148" t="s">
        <v>92</v>
      </c>
      <c r="D87" s="118"/>
      <c r="E87" s="119"/>
      <c r="F87" s="118"/>
      <c r="G87" s="120"/>
      <c r="H87" s="120"/>
      <c r="I87" s="120"/>
      <c r="J87" s="167"/>
      <c r="K87" s="143"/>
      <c r="L87" s="149"/>
      <c r="M87" s="135"/>
      <c r="N87" s="141"/>
      <c r="O87" s="150"/>
      <c r="P87" s="135"/>
      <c r="Q87" s="136"/>
      <c r="R87" s="127"/>
    </row>
    <row r="88" customFormat="false" ht="26.1" hidden="false" customHeight="false" outlineLevel="0" collapsed="false">
      <c r="A88" s="128"/>
      <c r="B88" s="128"/>
      <c r="C88" s="36"/>
      <c r="D88" s="139" t="s">
        <v>70</v>
      </c>
      <c r="E88" s="130" t="str">
        <f aca="false">IF(D88="","",VLOOKUP(D88,matriz_codigo_prezos,2,FALSE()))</f>
        <v>Determinación da densidade "in situ", incluíndo humidade por medio de isótopos radiactivos (mínimo  10 determinacións) UNE 103900 ou equivalente</v>
      </c>
      <c r="F88" s="131" t="n">
        <v>5000</v>
      </c>
      <c r="G88" s="129" t="s">
        <v>68</v>
      </c>
      <c r="H88" s="132" t="n">
        <v>5</v>
      </c>
      <c r="I88" s="133" t="n">
        <f aca="false">IF( A87=0,0, ROUNDUP(A87/F88,    0))</f>
        <v>0</v>
      </c>
      <c r="J88" s="146" t="s">
        <v>91</v>
      </c>
      <c r="K88" s="134" t="n">
        <f aca="false">$N$6</f>
        <v>0.3</v>
      </c>
      <c r="L88" s="144" t="n">
        <f aca="false">IF( A87&lt;&gt;0,  MAX(10,INT(H88*I88*K88)),0  )</f>
        <v>0</v>
      </c>
      <c r="M88" s="135" t="n">
        <f aca="false">P88</f>
        <v>28</v>
      </c>
      <c r="N88" s="136" t="n">
        <f aca="false">ROUND(L88*M88,2)</f>
        <v>0</v>
      </c>
      <c r="O88" s="145" t="n">
        <f aca="false">IF(A87=0,0,   MAX( 10, INT(I88*H88) )   )</f>
        <v>0</v>
      </c>
      <c r="P88" s="135" t="n">
        <f aca="false">IF(D88="","",VLOOKUP(D88,matriz_codigo_prezos,6,FALSE()))</f>
        <v>28</v>
      </c>
      <c r="Q88" s="138" t="n">
        <f aca="false">IF(O88="","",ROUND(O88*P88,2))</f>
        <v>0</v>
      </c>
      <c r="R88" s="147"/>
    </row>
    <row r="89" customFormat="false" ht="17.9" hidden="false" customHeight="false" outlineLevel="0" collapsed="false">
      <c r="A89" s="128"/>
      <c r="B89" s="128"/>
      <c r="C89" s="36"/>
      <c r="D89" s="139" t="s">
        <v>72</v>
      </c>
      <c r="E89" s="130" t="str">
        <f aca="false">IF(D89="","",VLOOKUP(D89,matriz_codigo_prezos,2,FALSE()))</f>
        <v>Ensaio de Carga con Placa de 30cm UNE 103808 ou equivalente. Non inclúe preparación do dispositivo a reacción</v>
      </c>
      <c r="F89" s="131" t="n">
        <v>5000</v>
      </c>
      <c r="G89" s="129" t="s">
        <v>68</v>
      </c>
      <c r="H89" s="132" t="n">
        <v>1</v>
      </c>
      <c r="I89" s="133" t="n">
        <f aca="false">IF( A87=0,0,ROUNDUP(A87/F89,   0))</f>
        <v>0</v>
      </c>
      <c r="J89" s="146" t="s">
        <v>91</v>
      </c>
      <c r="K89" s="134" t="n">
        <f aca="false">$N$6</f>
        <v>0.3</v>
      </c>
      <c r="L89" s="144" t="n">
        <f aca="false">IF( A87&lt;&gt;0,  MAX( 1, INT(H89*I89*K89) ), 0 )</f>
        <v>0</v>
      </c>
      <c r="M89" s="135" t="n">
        <f aca="false">P89</f>
        <v>181</v>
      </c>
      <c r="N89" s="136" t="n">
        <f aca="false">ROUND(L89*M89,2)</f>
        <v>0</v>
      </c>
      <c r="O89" s="137" t="n">
        <f aca="false">INT(I89*H89)</f>
        <v>0</v>
      </c>
      <c r="P89" s="135" t="n">
        <f aca="false">IF(D89="","",VLOOKUP(D89,matriz_codigo_prezos,6,FALSE()))</f>
        <v>181</v>
      </c>
      <c r="Q89" s="138" t="n">
        <f aca="false">IF(O89="","",ROUND(O89*P89,2))</f>
        <v>0</v>
      </c>
      <c r="R89" s="147"/>
    </row>
    <row r="90" customFormat="false" ht="42.5" hidden="false" customHeight="false" outlineLevel="0" collapsed="false">
      <c r="A90" s="115"/>
      <c r="B90" s="116" t="s">
        <v>68</v>
      </c>
      <c r="C90" s="148" t="s">
        <v>93</v>
      </c>
      <c r="D90" s="118"/>
      <c r="E90" s="119"/>
      <c r="F90" s="118"/>
      <c r="G90" s="120"/>
      <c r="H90" s="120"/>
      <c r="I90" s="120"/>
      <c r="J90" s="167"/>
      <c r="K90" s="143"/>
      <c r="L90" s="149"/>
      <c r="M90" s="135"/>
      <c r="N90" s="141"/>
      <c r="O90" s="150"/>
      <c r="P90" s="135"/>
      <c r="Q90" s="136"/>
      <c r="R90" s="127"/>
    </row>
    <row r="91" customFormat="false" ht="26.1" hidden="false" customHeight="false" outlineLevel="0" collapsed="false">
      <c r="A91" s="128"/>
      <c r="B91" s="128"/>
      <c r="C91" s="36"/>
      <c r="D91" s="139" t="s">
        <v>70</v>
      </c>
      <c r="E91" s="130" t="str">
        <f aca="false">IF(D91="","",VLOOKUP(D91,matriz_codigo_prezos,2,FALSE()))</f>
        <v>Determinación da densidade "in situ", incluíndo humidade por medio de isótopos radiactivos (mínimo  10 determinacións) UNE 103900 ou equivalente</v>
      </c>
      <c r="F91" s="131" t="n">
        <v>10000</v>
      </c>
      <c r="G91" s="129" t="s">
        <v>68</v>
      </c>
      <c r="H91" s="132" t="n">
        <v>5</v>
      </c>
      <c r="I91" s="133" t="n">
        <f aca="false">IF( A90=0,0, ROUNDUP(A90/F91,    0))</f>
        <v>0</v>
      </c>
      <c r="J91" s="146" t="s">
        <v>91</v>
      </c>
      <c r="K91" s="134" t="n">
        <f aca="false">$N$6</f>
        <v>0.3</v>
      </c>
      <c r="L91" s="144" t="n">
        <f aca="false">IF( A90&lt;&gt;0,  MAX(10,INT(H91*I91*K91)),0  )</f>
        <v>0</v>
      </c>
      <c r="M91" s="135" t="n">
        <f aca="false">P91</f>
        <v>28</v>
      </c>
      <c r="N91" s="136" t="n">
        <f aca="false">ROUND(L91*M91,2)</f>
        <v>0</v>
      </c>
      <c r="O91" s="145" t="n">
        <f aca="false">IF(A90=0,0,   MAX( 10, INT(I91*H91) )   )</f>
        <v>0</v>
      </c>
      <c r="P91" s="135" t="n">
        <f aca="false">IF(D91="","",VLOOKUP(D91,matriz_codigo_prezos,6,FALSE()))</f>
        <v>28</v>
      </c>
      <c r="Q91" s="138" t="n">
        <f aca="false">IF(O91="","",ROUND(O91*P91,2))</f>
        <v>0</v>
      </c>
      <c r="R91" s="147"/>
    </row>
    <row r="92" customFormat="false" ht="17.9" hidden="false" customHeight="false" outlineLevel="0" collapsed="false">
      <c r="A92" s="128"/>
      <c r="B92" s="128"/>
      <c r="C92" s="36"/>
      <c r="D92" s="139" t="s">
        <v>72</v>
      </c>
      <c r="E92" s="130" t="str">
        <f aca="false">IF(D92="","",VLOOKUP(D92,matriz_codigo_prezos,2,FALSE()))</f>
        <v>Ensaio de Carga con Placa de 30cm UNE 103808 ou equivalente. Non inclúe preparación do dispositivo a reacción</v>
      </c>
      <c r="F92" s="131" t="n">
        <v>10000</v>
      </c>
      <c r="G92" s="129" t="s">
        <v>68</v>
      </c>
      <c r="H92" s="132" t="n">
        <v>1</v>
      </c>
      <c r="I92" s="133" t="n">
        <f aca="false">IF( A90=0,0,ROUNDUP(A90/F92,   0))</f>
        <v>0</v>
      </c>
      <c r="J92" s="146" t="s">
        <v>91</v>
      </c>
      <c r="K92" s="134" t="n">
        <f aca="false">$N$6</f>
        <v>0.3</v>
      </c>
      <c r="L92" s="144" t="n">
        <f aca="false">IF( A90&lt;&gt;0,  MAX( 1, INT(H92*I92*K92) ), 0 )</f>
        <v>0</v>
      </c>
      <c r="M92" s="135" t="n">
        <f aca="false">P92</f>
        <v>181</v>
      </c>
      <c r="N92" s="136" t="n">
        <f aca="false">ROUND(L92*M92,2)</f>
        <v>0</v>
      </c>
      <c r="O92" s="137" t="n">
        <f aca="false">INT(I92*H92)</f>
        <v>0</v>
      </c>
      <c r="P92" s="135" t="n">
        <f aca="false">IF(D92="","",VLOOKUP(D92,matriz_codigo_prezos,6,FALSE()))</f>
        <v>181</v>
      </c>
      <c r="Q92" s="138" t="n">
        <f aca="false">IF(O92="","",ROUND(O92*P92,2))</f>
        <v>0</v>
      </c>
      <c r="R92" s="147"/>
    </row>
    <row r="93" customFormat="false" ht="13.8" hidden="false" customHeight="false" outlineLevel="0" collapsed="false">
      <c r="A93" s="128"/>
      <c r="B93" s="128"/>
      <c r="C93" s="73"/>
      <c r="D93" s="139"/>
      <c r="E93" s="130" t="str">
        <f aca="false">IF(D93="","",VLOOKUP(D93,matriz_codigo_prezos,2,FALSE()))</f>
        <v/>
      </c>
      <c r="F93" s="131"/>
      <c r="G93" s="129"/>
      <c r="H93" s="132"/>
      <c r="I93" s="133"/>
      <c r="J93" s="133"/>
      <c r="K93" s="134"/>
      <c r="L93" s="129"/>
      <c r="M93" s="135"/>
      <c r="N93" s="136"/>
      <c r="O93" s="137"/>
      <c r="P93" s="135"/>
      <c r="Q93" s="138"/>
      <c r="R93" s="112"/>
    </row>
    <row r="94" s="36" customFormat="true" ht="13.8" hidden="false" customHeight="false" outlineLevel="0" collapsed="false">
      <c r="A94" s="101" t="s">
        <v>94</v>
      </c>
      <c r="B94" s="101"/>
      <c r="C94" s="101"/>
      <c r="D94" s="101"/>
      <c r="E94" s="102" t="str">
        <f aca="false">IF(D94="","",VLOOKUP(D94,matriz_codigo_prezos,2,FALSE()))</f>
        <v/>
      </c>
      <c r="F94" s="101"/>
      <c r="G94" s="103"/>
      <c r="H94" s="103"/>
      <c r="I94" s="103"/>
      <c r="J94" s="103"/>
      <c r="K94" s="103"/>
      <c r="L94" s="103"/>
      <c r="M94" s="103"/>
      <c r="N94" s="103"/>
      <c r="O94" s="103"/>
      <c r="P94" s="103"/>
      <c r="Q94" s="103"/>
      <c r="R94" s="104"/>
      <c r="U94" s="152"/>
    </row>
    <row r="95" customFormat="false" ht="13.8" hidden="false" customHeight="false" outlineLevel="0" collapsed="false">
      <c r="A95" s="106" t="s">
        <v>53</v>
      </c>
      <c r="B95" s="106"/>
      <c r="C95" s="106"/>
      <c r="D95" s="106"/>
      <c r="E95" s="107" t="str">
        <f aca="false">IF(D95="","",VLOOKUP(D95,matriz_codigo_prezos,2,FALSE()))</f>
        <v/>
      </c>
      <c r="F95" s="106"/>
      <c r="G95" s="108"/>
      <c r="H95" s="108"/>
      <c r="I95" s="108"/>
      <c r="J95" s="133"/>
      <c r="K95" s="161"/>
      <c r="L95" s="162"/>
      <c r="M95" s="135"/>
      <c r="N95" s="163"/>
      <c r="O95" s="164"/>
      <c r="P95" s="135"/>
      <c r="Q95" s="138"/>
      <c r="R95" s="112"/>
    </row>
    <row r="96" customFormat="false" ht="58.95" hidden="false" customHeight="false" outlineLevel="0" collapsed="false">
      <c r="A96" s="115"/>
      <c r="B96" s="116" t="s">
        <v>54</v>
      </c>
      <c r="C96" s="148" t="s">
        <v>95</v>
      </c>
      <c r="D96" s="118"/>
      <c r="E96" s="119"/>
      <c r="F96" s="118"/>
      <c r="G96" s="120"/>
      <c r="H96" s="120"/>
      <c r="I96" s="120"/>
      <c r="J96" s="133"/>
      <c r="K96" s="153"/>
      <c r="L96" s="129"/>
      <c r="M96" s="135"/>
      <c r="N96" s="141"/>
      <c r="O96" s="137"/>
      <c r="P96" s="135"/>
      <c r="Q96" s="136"/>
      <c r="R96" s="127"/>
    </row>
    <row r="97" customFormat="false" ht="17.9" hidden="false" customHeight="false" outlineLevel="0" collapsed="false">
      <c r="A97" s="128"/>
      <c r="B97" s="128"/>
      <c r="C97" s="36"/>
      <c r="D97" s="129" t="s">
        <v>56</v>
      </c>
      <c r="E97" s="130" t="str">
        <f aca="false">IF(D97="","",VLOOKUP(D97,matriz_codigo_prezos,2,FALSE()))</f>
        <v>Análise granulométrica por tamizado (solos UNE 103101 ou equivalente) (aridos UNE EN 933-1 ou equivalente)</v>
      </c>
      <c r="F97" s="131" t="n">
        <v>5000</v>
      </c>
      <c r="G97" s="129" t="s">
        <v>54</v>
      </c>
      <c r="H97" s="132" t="n">
        <v>1</v>
      </c>
      <c r="I97" s="133" t="n">
        <f aca="false">IF($A$96="",0,IF(($A$96/F97)&gt;1,ROUNDUP($A$96/F97,0), 1))</f>
        <v>0</v>
      </c>
      <c r="J97" s="133"/>
      <c r="K97" s="134" t="n">
        <f aca="false">$N$6</f>
        <v>0.3</v>
      </c>
      <c r="L97" s="129" t="n">
        <f aca="false">IF(O97=0,0,ROUNDUP(O97*K97,0))</f>
        <v>0</v>
      </c>
      <c r="M97" s="135" t="n">
        <f aca="false">P97</f>
        <v>44</v>
      </c>
      <c r="N97" s="136" t="n">
        <f aca="false">ROUND(L97*M97,2)</f>
        <v>0</v>
      </c>
      <c r="O97" s="137" t="n">
        <f aca="false">INT(I97*H97)</f>
        <v>0</v>
      </c>
      <c r="P97" s="135" t="n">
        <f aca="false">IF(D97="","",VLOOKUP(D97,matriz_codigo_prezos,6,FALSE()))</f>
        <v>44</v>
      </c>
      <c r="Q97" s="138" t="n">
        <f aca="false">IF(O97="","",ROUND(O97*P97,2))</f>
        <v>0</v>
      </c>
      <c r="R97" s="112"/>
    </row>
    <row r="98" customFormat="false" ht="17.9" hidden="false" customHeight="false" outlineLevel="0" collapsed="false">
      <c r="A98" s="128"/>
      <c r="B98" s="128"/>
      <c r="C98" s="36"/>
      <c r="D98" s="139" t="s">
        <v>58</v>
      </c>
      <c r="E98" s="130" t="str">
        <f aca="false">IF(D98="","",VLOOKUP(D98,matriz_codigo_prezos,2,FALSE()))</f>
        <v>Límites de Atterberg. Límite líquido e limite plástico UNE 103103, 103104  ou equivalente</v>
      </c>
      <c r="F98" s="131" t="n">
        <v>5000</v>
      </c>
      <c r="G98" s="129" t="s">
        <v>54</v>
      </c>
      <c r="H98" s="132" t="n">
        <v>1</v>
      </c>
      <c r="I98" s="133" t="n">
        <f aca="false">IF($A$96="",0,IF(($A$96/F98)&gt;1,ROUNDUP($A$96/F98,0), 1))</f>
        <v>0</v>
      </c>
      <c r="J98" s="133"/>
      <c r="K98" s="134" t="n">
        <f aca="false">$N$6</f>
        <v>0.3</v>
      </c>
      <c r="L98" s="129" t="n">
        <f aca="false">IF(O98=0,0,ROUNDUP(O98*K98,0))</f>
        <v>0</v>
      </c>
      <c r="M98" s="135" t="n">
        <f aca="false">P98</f>
        <v>63</v>
      </c>
      <c r="N98" s="136" t="n">
        <f aca="false">ROUND(L98*M98,2)</f>
        <v>0</v>
      </c>
      <c r="O98" s="137" t="n">
        <f aca="false">INT(I98*H98)</f>
        <v>0</v>
      </c>
      <c r="P98" s="135" t="n">
        <f aca="false">IF(D98="","",VLOOKUP(D98,matriz_codigo_prezos,6,FALSE()))</f>
        <v>63</v>
      </c>
      <c r="Q98" s="138" t="n">
        <f aca="false">IF(O98="","",ROUND(O98*P98,2))</f>
        <v>0</v>
      </c>
      <c r="R98" s="112"/>
    </row>
    <row r="99" customFormat="false" ht="13.8" hidden="false" customHeight="false" outlineLevel="0" collapsed="false">
      <c r="A99" s="128"/>
      <c r="B99" s="128"/>
      <c r="C99" s="36"/>
      <c r="D99" s="129" t="s">
        <v>96</v>
      </c>
      <c r="E99" s="130" t="str">
        <f aca="false">IF(D99="","",VLOOKUP(D99,matriz_codigo_prezos,2,FALSE()))</f>
        <v>Equivalente de Area UNE EN 933-8 (Anexo A)  ou equivalente</v>
      </c>
      <c r="F99" s="131" t="n">
        <v>5000</v>
      </c>
      <c r="G99" s="129" t="s">
        <v>54</v>
      </c>
      <c r="H99" s="132" t="n">
        <v>1</v>
      </c>
      <c r="I99" s="133" t="n">
        <f aca="false">IF($A$96="",0,IF(($A$96/F99)&gt;1,ROUNDUP($A$96/F99,0), 1))</f>
        <v>0</v>
      </c>
      <c r="J99" s="133"/>
      <c r="K99" s="134" t="n">
        <f aca="false">$N$6</f>
        <v>0.3</v>
      </c>
      <c r="L99" s="129" t="n">
        <f aca="false">IF(O99=0,0,ROUNDUP(O99*K99,0))</f>
        <v>0</v>
      </c>
      <c r="M99" s="135" t="n">
        <f aca="false">P99</f>
        <v>51</v>
      </c>
      <c r="N99" s="136" t="n">
        <f aca="false">ROUND(L99*M99,2)</f>
        <v>0</v>
      </c>
      <c r="O99" s="137" t="n">
        <f aca="false">INT(I99*H99)</f>
        <v>0</v>
      </c>
      <c r="P99" s="135" t="n">
        <f aca="false">IF(D99="","",VLOOKUP(D99,matriz_codigo_prezos,6,FALSE()))</f>
        <v>51</v>
      </c>
      <c r="Q99" s="138" t="n">
        <f aca="false">IF(O99="","",ROUND(O99*P99,2))</f>
        <v>0</v>
      </c>
      <c r="R99" s="112"/>
    </row>
    <row r="100" customFormat="false" ht="17.9" hidden="false" customHeight="false" outlineLevel="0" collapsed="false">
      <c r="A100" s="128"/>
      <c r="B100" s="128"/>
      <c r="C100" s="36"/>
      <c r="D100" s="139" t="s">
        <v>97</v>
      </c>
      <c r="E100" s="130" t="str">
        <f aca="false">IF(D100="","",VLOOKUP(D100,matriz_codigo_prezos,2,FALSE()))</f>
        <v>Resistencia á fragmentación Ensaio "Os Ánxeles" UNE EN 1097-2  ou equivalente</v>
      </c>
      <c r="F100" s="131" t="n">
        <v>5000</v>
      </c>
      <c r="G100" s="129" t="s">
        <v>54</v>
      </c>
      <c r="H100" s="132" t="n">
        <v>1</v>
      </c>
      <c r="I100" s="133" t="n">
        <f aca="false">IF($A$96="",0,IF(($A$96/F100)&gt;1,ROUNDUP($A$96/F100,0), 1))</f>
        <v>0</v>
      </c>
      <c r="J100" s="133"/>
      <c r="K100" s="134" t="n">
        <f aca="false">$N$6</f>
        <v>0.3</v>
      </c>
      <c r="L100" s="129" t="n">
        <f aca="false">IF(O100=0,0,ROUNDUP(O100*K100,0))</f>
        <v>0</v>
      </c>
      <c r="M100" s="135" t="n">
        <f aca="false">P100</f>
        <v>104</v>
      </c>
      <c r="N100" s="136" t="n">
        <f aca="false">ROUND(L100*M100,2)</f>
        <v>0</v>
      </c>
      <c r="O100" s="137" t="n">
        <f aca="false">INT(I100*H100)</f>
        <v>0</v>
      </c>
      <c r="P100" s="135" t="n">
        <f aca="false">IF(D100="","",VLOOKUP(D100,matriz_codigo_prezos,6,FALSE()))</f>
        <v>104</v>
      </c>
      <c r="Q100" s="138" t="n">
        <f aca="false">IF(O100="","",ROUND(O100*P100,2))</f>
        <v>0</v>
      </c>
      <c r="R100" s="112"/>
    </row>
    <row r="101" customFormat="false" ht="13.8" hidden="false" customHeight="false" outlineLevel="0" collapsed="false">
      <c r="C101" s="73"/>
      <c r="D101" s="139"/>
      <c r="E101" s="130" t="str">
        <f aca="false">IF(D101="","",VLOOKUP(D101,matriz_codigo_prezos,2,FALSE()))</f>
        <v/>
      </c>
      <c r="F101" s="25"/>
      <c r="G101" s="121"/>
      <c r="H101" s="121"/>
      <c r="I101" s="133"/>
      <c r="J101" s="133"/>
      <c r="K101" s="159"/>
      <c r="L101" s="129"/>
      <c r="M101" s="135"/>
      <c r="N101" s="136"/>
      <c r="O101" s="137"/>
      <c r="P101" s="135"/>
      <c r="Q101" s="138"/>
      <c r="R101" s="112"/>
    </row>
    <row r="102" s="36" customFormat="true" ht="13.8" hidden="false" customHeight="false" outlineLevel="0" collapsed="false">
      <c r="A102" s="101" t="s">
        <v>98</v>
      </c>
      <c r="B102" s="101"/>
      <c r="C102" s="101"/>
      <c r="D102" s="101"/>
      <c r="E102" s="102" t="str">
        <f aca="false">IF(D102="","",VLOOKUP(D102,matriz_codigo_prezos,2,FALSE()))</f>
        <v/>
      </c>
      <c r="F102" s="101"/>
      <c r="G102" s="103"/>
      <c r="H102" s="103"/>
      <c r="I102" s="103"/>
      <c r="J102" s="103"/>
      <c r="K102" s="103"/>
      <c r="L102" s="103"/>
      <c r="M102" s="103"/>
      <c r="N102" s="103"/>
      <c r="O102" s="103"/>
      <c r="P102" s="103"/>
      <c r="Q102" s="103"/>
      <c r="R102" s="104"/>
      <c r="U102" s="152"/>
    </row>
    <row r="103" customFormat="false" ht="13.8" hidden="false" customHeight="false" outlineLevel="0" collapsed="false">
      <c r="A103" s="106" t="s">
        <v>53</v>
      </c>
      <c r="B103" s="106"/>
      <c r="C103" s="106"/>
      <c r="D103" s="106"/>
      <c r="E103" s="107" t="str">
        <f aca="false">IF(D103="","",VLOOKUP(D103,matriz_codigo_prezos,2,FALSE()))</f>
        <v/>
      </c>
      <c r="F103" s="106"/>
      <c r="G103" s="108"/>
      <c r="H103" s="108"/>
      <c r="I103" s="108"/>
      <c r="J103" s="133"/>
      <c r="K103" s="161"/>
      <c r="L103" s="162"/>
      <c r="M103" s="135"/>
      <c r="N103" s="163"/>
      <c r="O103" s="164"/>
      <c r="P103" s="135"/>
      <c r="Q103" s="138"/>
      <c r="R103" s="112"/>
    </row>
    <row r="104" customFormat="false" ht="58.95" hidden="false" customHeight="false" outlineLevel="0" collapsed="false">
      <c r="A104" s="115"/>
      <c r="B104" s="116" t="s">
        <v>54</v>
      </c>
      <c r="C104" s="148" t="s">
        <v>99</v>
      </c>
      <c r="D104" s="118"/>
      <c r="E104" s="119"/>
      <c r="F104" s="118"/>
      <c r="G104" s="120"/>
      <c r="H104" s="120"/>
      <c r="I104" s="120"/>
      <c r="J104" s="133"/>
      <c r="K104" s="153"/>
      <c r="L104" s="129"/>
      <c r="M104" s="135"/>
      <c r="N104" s="154"/>
      <c r="O104" s="137"/>
      <c r="P104" s="135"/>
      <c r="Q104" s="136"/>
      <c r="R104" s="127"/>
    </row>
    <row r="105" customFormat="false" ht="13.8" hidden="false" customHeight="false" outlineLevel="0" collapsed="false">
      <c r="A105" s="128"/>
      <c r="B105" s="128"/>
      <c r="C105" s="36"/>
      <c r="D105" s="139" t="s">
        <v>100</v>
      </c>
      <c r="E105" s="130" t="str">
        <f aca="false">IF(D105="","",VLOOKUP(D105,matriz_codigo_prezos,2,FALSE()))</f>
        <v>Densidade aparente e absorción de auga UNE EN 1936  ou equivalente</v>
      </c>
      <c r="F105" s="131" t="n">
        <v>50000</v>
      </c>
      <c r="G105" s="129" t="s">
        <v>54</v>
      </c>
      <c r="H105" s="132" t="n">
        <v>1</v>
      </c>
      <c r="I105" s="133" t="n">
        <f aca="false">IF($A$104="",0,IF(($A$104/F105)&gt;1,ROUNDUP($A$104/F105,0), 1))</f>
        <v>0</v>
      </c>
      <c r="J105" s="133"/>
      <c r="K105" s="134" t="n">
        <f aca="false">$N$6</f>
        <v>0.3</v>
      </c>
      <c r="L105" s="129" t="n">
        <f aca="false">IF(O105=0,0,ROUNDUP(O105*K105,0))</f>
        <v>0</v>
      </c>
      <c r="M105" s="135" t="n">
        <f aca="false">P105</f>
        <v>112</v>
      </c>
      <c r="N105" s="136" t="n">
        <f aca="false">ROUND(L105*M105,2)</f>
        <v>0</v>
      </c>
      <c r="O105" s="137" t="n">
        <f aca="false">INT(I105*H105)</f>
        <v>0</v>
      </c>
      <c r="P105" s="135" t="n">
        <f aca="false">IF(D105="","",VLOOKUP(D105,matriz_codigo_prezos,6,FALSE()))</f>
        <v>112</v>
      </c>
      <c r="Q105" s="138" t="n">
        <f aca="false">IF(O105="","",ROUND(O105*P105,2))</f>
        <v>0</v>
      </c>
      <c r="R105" s="112"/>
    </row>
    <row r="106" customFormat="false" ht="17.9" hidden="false" customHeight="false" outlineLevel="0" collapsed="false">
      <c r="A106" s="128"/>
      <c r="B106" s="128"/>
      <c r="C106" s="36"/>
      <c r="D106" s="139" t="s">
        <v>101</v>
      </c>
      <c r="E106" s="130" t="str">
        <f aca="false">IF(D106="","",VLOOKUP(D106,matriz_codigo_prezos,2,FALSE()))</f>
        <v>Resistencia á fragmentación Ensaio "Os Ánxeles" en escollera UNE EN 1097-2  ou equivalente</v>
      </c>
      <c r="F106" s="131" t="n">
        <v>50000</v>
      </c>
      <c r="G106" s="129" t="s">
        <v>54</v>
      </c>
      <c r="H106" s="132" t="n">
        <v>1</v>
      </c>
      <c r="I106" s="133" t="n">
        <f aca="false">IF($A$104="",0,IF(($A$104/F106)&gt;1,ROUNDUP($A$104/F106,0), 1))</f>
        <v>0</v>
      </c>
      <c r="J106" s="133"/>
      <c r="K106" s="134" t="n">
        <f aca="false">$N$6</f>
        <v>0.3</v>
      </c>
      <c r="L106" s="129" t="n">
        <f aca="false">IF(O106=0,0,ROUNDUP(O106*K106,0))</f>
        <v>0</v>
      </c>
      <c r="M106" s="135" t="n">
        <f aca="false">P106</f>
        <v>104</v>
      </c>
      <c r="N106" s="136" t="n">
        <f aca="false">ROUND(L106*M106,2)</f>
        <v>0</v>
      </c>
      <c r="O106" s="137" t="n">
        <f aca="false">INT(I106*H106)</f>
        <v>0</v>
      </c>
      <c r="P106" s="135" t="n">
        <f aca="false">IF(D106="","",VLOOKUP(D106,matriz_codigo_prezos,6,FALSE()))</f>
        <v>104</v>
      </c>
      <c r="Q106" s="138" t="n">
        <f aca="false">IF(O106="","",ROUND(O106*P106,2))</f>
        <v>0</v>
      </c>
      <c r="R106" s="112"/>
    </row>
    <row r="107" customFormat="false" ht="17.9" hidden="false" customHeight="false" outlineLevel="0" collapsed="false">
      <c r="A107" s="128"/>
      <c r="B107" s="128"/>
      <c r="C107" s="36"/>
      <c r="D107" s="139" t="s">
        <v>102</v>
      </c>
      <c r="E107" s="130" t="str">
        <f aca="false">IF(D107="","",VLOOKUP(D107,matriz_codigo_prezos,2,FALSE()))</f>
        <v>Estabilidade de áridos e fragmentos de roca fronte a acción de inmersión en auga en escolleras UNE 146510 ou equivalente</v>
      </c>
      <c r="F107" s="131" t="n">
        <v>50000</v>
      </c>
      <c r="G107" s="129" t="s">
        <v>54</v>
      </c>
      <c r="H107" s="132" t="n">
        <v>1</v>
      </c>
      <c r="I107" s="133" t="n">
        <f aca="false">IF($A$104="",0,IF(($A$104/F107)&gt;1,ROUNDUP($A$104/F107,0), 1))</f>
        <v>0</v>
      </c>
      <c r="J107" s="133"/>
      <c r="K107" s="134" t="n">
        <f aca="false">$N$6</f>
        <v>0.3</v>
      </c>
      <c r="L107" s="129" t="n">
        <f aca="false">IF(O107=0,0,ROUNDUP(O107*K107,0))</f>
        <v>0</v>
      </c>
      <c r="M107" s="135" t="n">
        <f aca="false">P107</f>
        <v>173</v>
      </c>
      <c r="N107" s="136" t="n">
        <f aca="false">ROUND(L107*M107,2)</f>
        <v>0</v>
      </c>
      <c r="O107" s="137" t="n">
        <f aca="false">INT(I107*H107)</f>
        <v>0</v>
      </c>
      <c r="P107" s="135" t="n">
        <f aca="false">IF(D107="","",VLOOKUP(D107,matriz_codigo_prezos,6,FALSE()))</f>
        <v>173</v>
      </c>
      <c r="Q107" s="138" t="n">
        <f aca="false">IF(O107="","",ROUND(O107*P107,2))</f>
        <v>0</v>
      </c>
      <c r="R107" s="112"/>
    </row>
    <row r="108" customFormat="false" ht="13.8" hidden="false" customHeight="false" outlineLevel="0" collapsed="false">
      <c r="C108" s="36"/>
      <c r="D108" s="139" t="s">
        <v>103</v>
      </c>
      <c r="E108" s="130" t="str">
        <f aca="false">IF(D108="","",VLOOKUP(D108,matriz_codigo_prezos,2,FALSE()))</f>
        <v>Resistencia á rotura a compresión incluíndo extracción de testemuña</v>
      </c>
      <c r="F108" s="131" t="n">
        <v>50000</v>
      </c>
      <c r="G108" s="129" t="s">
        <v>54</v>
      </c>
      <c r="H108" s="121" t="n">
        <v>1</v>
      </c>
      <c r="I108" s="133" t="n">
        <f aca="false">IF($A$104="",0,IF(($A$104/F108)&gt;1,ROUNDUP($A$104/F108,0), 1))</f>
        <v>0</v>
      </c>
      <c r="J108" s="133"/>
      <c r="K108" s="134" t="n">
        <f aca="false">$N$6</f>
        <v>0.3</v>
      </c>
      <c r="L108" s="129" t="n">
        <f aca="false">IF(O108=0,0,ROUNDUP(O108*K108,0))</f>
        <v>0</v>
      </c>
      <c r="M108" s="135" t="n">
        <f aca="false">P108</f>
        <v>140</v>
      </c>
      <c r="N108" s="136" t="n">
        <f aca="false">ROUND(L108*M108,2)</f>
        <v>0</v>
      </c>
      <c r="O108" s="137" t="n">
        <f aca="false">INT(I108*H108)</f>
        <v>0</v>
      </c>
      <c r="P108" s="135" t="n">
        <f aca="false">IF(D108="","",VLOOKUP(D108,matriz_codigo_prezos,6,FALSE()))</f>
        <v>140</v>
      </c>
      <c r="Q108" s="138" t="n">
        <f aca="false">IF(O108="","",ROUND(O108*P108,2))</f>
        <v>0</v>
      </c>
      <c r="R108" s="112"/>
    </row>
    <row r="109" customFormat="false" ht="13.8" hidden="false" customHeight="false" outlineLevel="0" collapsed="false">
      <c r="C109" s="73"/>
      <c r="D109" s="139"/>
      <c r="E109" s="130" t="str">
        <f aca="false">IF(D109="","",VLOOKUP(D109,matriz_codigo_prezos,2,FALSE()))</f>
        <v/>
      </c>
      <c r="F109" s="25"/>
      <c r="G109" s="121"/>
      <c r="H109" s="121"/>
      <c r="I109" s="133"/>
      <c r="J109" s="133"/>
      <c r="K109" s="159"/>
      <c r="L109" s="129"/>
      <c r="M109" s="135"/>
      <c r="N109" s="136"/>
      <c r="O109" s="137"/>
      <c r="P109" s="135"/>
      <c r="Q109" s="138"/>
      <c r="R109" s="112"/>
    </row>
    <row r="110" customFormat="false" ht="13.8" hidden="false" customHeight="false" outlineLevel="0" collapsed="false">
      <c r="C110" s="73"/>
      <c r="D110" s="35"/>
      <c r="E110" s="168" t="str">
        <f aca="false">IF(D110="","",VLOOKUP(D110,matriz_codigo_prezos,2,FALSE()))</f>
        <v/>
      </c>
      <c r="F110" s="35"/>
      <c r="G110" s="169"/>
      <c r="H110" s="169"/>
      <c r="I110" s="133"/>
      <c r="J110" s="133"/>
      <c r="K110" s="159"/>
      <c r="L110" s="129"/>
      <c r="M110" s="135"/>
      <c r="N110" s="136"/>
      <c r="O110" s="137"/>
      <c r="P110" s="135"/>
      <c r="Q110" s="138"/>
      <c r="R110" s="112"/>
    </row>
    <row r="111" s="174" customFormat="true" ht="17.35" hidden="false" customHeight="false" outlineLevel="0" collapsed="false">
      <c r="A111" s="76" t="s">
        <v>104</v>
      </c>
      <c r="B111" s="76"/>
      <c r="C111" s="76"/>
      <c r="D111" s="76"/>
      <c r="E111" s="170" t="str">
        <f aca="false">IF(D111="","",VLOOKUP(D111,matriz_codigo_prezos,2,FALSE()))</f>
        <v/>
      </c>
      <c r="F111" s="76"/>
      <c r="G111" s="171"/>
      <c r="H111" s="171"/>
      <c r="I111" s="171"/>
      <c r="J111" s="171"/>
      <c r="K111" s="171"/>
      <c r="L111" s="171"/>
      <c r="M111" s="171"/>
      <c r="N111" s="171"/>
      <c r="O111" s="171"/>
      <c r="P111" s="171"/>
      <c r="Q111" s="171"/>
      <c r="R111" s="172"/>
      <c r="S111" s="173"/>
      <c r="U111" s="175"/>
    </row>
    <row r="112" s="189" customFormat="true" ht="40.25" hidden="false" customHeight="false" outlineLevel="0" collapsed="false">
      <c r="A112" s="176" t="n">
        <v>0</v>
      </c>
      <c r="B112" s="177" t="s">
        <v>105</v>
      </c>
      <c r="C112" s="177"/>
      <c r="D112" s="177"/>
      <c r="E112" s="178" t="str">
        <f aca="false">IF(    AND( ISNUMBER(A112), OR(A112=0,A112=1,A112=2,A112=31,A112=32,A112=41,A112=42) ),    "","&lt;== introduzca un valor correcto categoría tráfico pesado"  )</f>
        <v/>
      </c>
      <c r="F112" s="179"/>
      <c r="G112" s="180"/>
      <c r="H112" s="181"/>
      <c r="I112" s="133"/>
      <c r="J112" s="133"/>
      <c r="K112" s="182"/>
      <c r="L112" s="180"/>
      <c r="M112" s="183"/>
      <c r="N112" s="184"/>
      <c r="O112" s="185"/>
      <c r="P112" s="183"/>
      <c r="Q112" s="136"/>
      <c r="R112" s="186"/>
      <c r="S112" s="187"/>
      <c r="T112" s="86"/>
      <c r="U112" s="188"/>
      <c r="V112" s="86"/>
      <c r="W112" s="86"/>
      <c r="X112" s="86"/>
      <c r="Y112" s="86"/>
      <c r="Z112" s="86"/>
      <c r="AA112" s="86"/>
      <c r="AB112" s="86"/>
    </row>
    <row r="113" s="189" customFormat="true" ht="15" hidden="false" customHeight="false" outlineLevel="0" collapsed="false">
      <c r="A113" s="82" t="s">
        <v>106</v>
      </c>
      <c r="B113" s="82"/>
      <c r="C113" s="82"/>
      <c r="D113" s="82"/>
      <c r="E113" s="83"/>
      <c r="F113" s="82"/>
      <c r="G113" s="84"/>
      <c r="H113" s="84"/>
      <c r="I113" s="84"/>
      <c r="J113" s="84"/>
      <c r="K113" s="84"/>
      <c r="L113" s="84"/>
      <c r="M113" s="84"/>
      <c r="N113" s="84"/>
      <c r="O113" s="84"/>
      <c r="P113" s="84"/>
      <c r="Q113" s="84"/>
      <c r="R113" s="190"/>
      <c r="S113" s="187"/>
      <c r="T113" s="86"/>
      <c r="U113" s="188"/>
      <c r="V113" s="86"/>
      <c r="W113" s="86"/>
      <c r="X113" s="86"/>
      <c r="Y113" s="86"/>
      <c r="Z113" s="86"/>
      <c r="AA113" s="86"/>
      <c r="AB113" s="86"/>
    </row>
    <row r="114" s="193" customFormat="true" ht="13.8" hidden="false" customHeight="false" outlineLevel="0" collapsed="false">
      <c r="A114" s="101" t="s">
        <v>107</v>
      </c>
      <c r="B114" s="101"/>
      <c r="C114" s="101"/>
      <c r="D114" s="101"/>
      <c r="E114" s="102" t="str">
        <f aca="false">IF(D114="","",VLOOKUP(D114,matriz_codigo_prezos,2,FALSE()))</f>
        <v/>
      </c>
      <c r="F114" s="101"/>
      <c r="G114" s="103"/>
      <c r="H114" s="103"/>
      <c r="I114" s="103"/>
      <c r="J114" s="103"/>
      <c r="K114" s="103"/>
      <c r="L114" s="103"/>
      <c r="M114" s="103"/>
      <c r="N114" s="103"/>
      <c r="O114" s="103"/>
      <c r="P114" s="103"/>
      <c r="Q114" s="103"/>
      <c r="R114" s="191"/>
      <c r="S114" s="192"/>
      <c r="U114" s="188"/>
    </row>
    <row r="115" customFormat="false" ht="20.85" hidden="false" customHeight="false" outlineLevel="0" collapsed="false">
      <c r="A115" s="115"/>
      <c r="B115" s="177" t="s">
        <v>108</v>
      </c>
      <c r="C115" s="177"/>
      <c r="D115" s="177"/>
      <c r="E115" s="194" t="str">
        <f aca="false">IF(  OR( A115="",A115=1, A115=2, A115=3), "", "&lt;== valor introducido incorrecto, ten que ser 1, 2 ou 3")</f>
        <v/>
      </c>
      <c r="F115" s="195"/>
      <c r="G115" s="162"/>
      <c r="H115" s="196"/>
      <c r="I115" s="133"/>
      <c r="J115" s="133"/>
      <c r="K115" s="165"/>
      <c r="L115" s="162"/>
      <c r="M115" s="135"/>
      <c r="N115" s="163"/>
      <c r="O115" s="164"/>
      <c r="P115" s="135"/>
      <c r="Q115" s="136"/>
      <c r="R115" s="197"/>
      <c r="S115" s="198"/>
    </row>
    <row r="116" customFormat="false" ht="13.8" hidden="false" customHeight="false" outlineLevel="0" collapsed="false">
      <c r="A116" s="106" t="s">
        <v>109</v>
      </c>
      <c r="B116" s="106"/>
      <c r="C116" s="106"/>
      <c r="D116" s="106"/>
      <c r="E116" s="107"/>
      <c r="F116" s="106"/>
      <c r="G116" s="108"/>
      <c r="H116" s="108"/>
      <c r="I116" s="108"/>
      <c r="J116" s="133"/>
      <c r="K116" s="161"/>
      <c r="L116" s="162"/>
      <c r="M116" s="135"/>
      <c r="N116" s="163"/>
      <c r="O116" s="164"/>
      <c r="P116" s="135"/>
      <c r="Q116" s="138"/>
      <c r="R116" s="199"/>
      <c r="S116" s="198"/>
    </row>
    <row r="117" customFormat="false" ht="13.8" hidden="false" customHeight="false" outlineLevel="0" collapsed="false">
      <c r="A117" s="200" t="s">
        <v>110</v>
      </c>
      <c r="B117" s="201"/>
      <c r="C117" s="201"/>
      <c r="D117" s="201"/>
      <c r="E117" s="202"/>
      <c r="F117" s="33"/>
      <c r="G117" s="167"/>
      <c r="H117" s="167"/>
      <c r="I117" s="167"/>
      <c r="J117" s="167"/>
      <c r="K117" s="167"/>
      <c r="L117" s="167"/>
      <c r="M117" s="167"/>
      <c r="N117" s="167"/>
      <c r="O117" s="167"/>
      <c r="P117" s="167"/>
      <c r="Q117" s="167"/>
      <c r="R117" s="197"/>
      <c r="S117" s="198"/>
    </row>
    <row r="118" customFormat="false" ht="75.35" hidden="false" customHeight="false" outlineLevel="0" collapsed="false">
      <c r="A118" s="115"/>
      <c r="B118" s="116" t="s">
        <v>54</v>
      </c>
      <c r="C118" s="148" t="s">
        <v>111</v>
      </c>
      <c r="D118" s="118"/>
      <c r="E118" s="119"/>
      <c r="F118" s="118"/>
      <c r="G118" s="120"/>
      <c r="H118" s="120"/>
      <c r="I118" s="120"/>
      <c r="J118" s="133"/>
      <c r="K118" s="143"/>
      <c r="L118" s="129"/>
      <c r="M118" s="135"/>
      <c r="N118" s="141"/>
      <c r="O118" s="137"/>
      <c r="P118" s="135"/>
      <c r="Q118" s="136"/>
      <c r="R118" s="197"/>
      <c r="S118" s="198"/>
    </row>
    <row r="119" customFormat="false" ht="17.9" hidden="false" customHeight="false" outlineLevel="0" collapsed="false">
      <c r="A119" s="128"/>
      <c r="B119" s="128"/>
      <c r="C119" s="36"/>
      <c r="D119" s="139" t="s">
        <v>112</v>
      </c>
      <c r="E119" s="130" t="str">
        <f aca="false">IF(D119="","",VLOOKUP(D119,matriz_codigo_prezos,2,FALSE()))</f>
        <v>Análise granulométrica por tamizado (solos UNE 103101 ou equivalente) (aridos UNE EN 933-1 ou equivalente)</v>
      </c>
      <c r="F119" s="131" t="n">
        <v>5000</v>
      </c>
      <c r="G119" s="129" t="s">
        <v>54</v>
      </c>
      <c r="H119" s="132" t="n">
        <v>1</v>
      </c>
      <c r="I119" s="133" t="n">
        <f aca="false">IF($A$118="",0,IF(($A$118/F119)&gt;4,ROUNDUP($A$118/F119,0), 4))</f>
        <v>0</v>
      </c>
      <c r="J119" s="133"/>
      <c r="K119" s="134" t="n">
        <f aca="false">$N$6</f>
        <v>0.3</v>
      </c>
      <c r="L119" s="129" t="n">
        <f aca="false">IF(O119=0,0,ROUNDUP(O119*K119,0))</f>
        <v>0</v>
      </c>
      <c r="M119" s="135" t="n">
        <f aca="false">P119</f>
        <v>44</v>
      </c>
      <c r="N119" s="136" t="n">
        <f aca="false">ROUND(L119*M119,2)</f>
        <v>0</v>
      </c>
      <c r="O119" s="137" t="n">
        <f aca="false">INT(I119*H119)</f>
        <v>0</v>
      </c>
      <c r="P119" s="135" t="n">
        <f aca="false">IF(D119="","",VLOOKUP(D119,matriz_codigo_prezos,6,FALSE()))</f>
        <v>44</v>
      </c>
      <c r="Q119" s="138" t="n">
        <f aca="false">IF(O119="","",ROUND(O119*P119,2))</f>
        <v>0</v>
      </c>
      <c r="R119" s="199"/>
      <c r="S119" s="198"/>
    </row>
    <row r="120" customFormat="false" ht="17.9" hidden="false" customHeight="false" outlineLevel="0" collapsed="false">
      <c r="A120" s="128"/>
      <c r="B120" s="128"/>
      <c r="C120" s="36"/>
      <c r="D120" s="139" t="s">
        <v>113</v>
      </c>
      <c r="E120" s="130" t="str">
        <f aca="false">IF(D120="","",VLOOKUP(D120,matriz_codigo_prezos,2,FALSE()))</f>
        <v>Límites de Atterberg. Límite líquido e limite plástico UNE 103103, 103104 ou equivalente</v>
      </c>
      <c r="F120" s="131" t="n">
        <v>5000</v>
      </c>
      <c r="G120" s="129" t="s">
        <v>54</v>
      </c>
      <c r="H120" s="132" t="n">
        <v>1</v>
      </c>
      <c r="I120" s="133" t="n">
        <f aca="false">IF($A$118="",0,IF(($A$118/F120)&gt;4,ROUNDUP($A$118/F120,0), 4))</f>
        <v>0</v>
      </c>
      <c r="J120" s="133"/>
      <c r="K120" s="134" t="n">
        <f aca="false">$N$6</f>
        <v>0.3</v>
      </c>
      <c r="L120" s="129" t="n">
        <f aca="false">IF(O120=0,0,ROUNDUP(O120*K120,0))</f>
        <v>0</v>
      </c>
      <c r="M120" s="135" t="n">
        <f aca="false">P120</f>
        <v>63</v>
      </c>
      <c r="N120" s="136" t="n">
        <f aca="false">ROUND(L120*M120,2)</f>
        <v>0</v>
      </c>
      <c r="O120" s="137" t="n">
        <f aca="false">INT(I120*H120)</f>
        <v>0</v>
      </c>
      <c r="P120" s="135" t="n">
        <f aca="false">IF(D120="","",VLOOKUP(D120,matriz_codigo_prezos,6,FALSE()))</f>
        <v>63</v>
      </c>
      <c r="Q120" s="138" t="n">
        <f aca="false">IF(O120="","",ROUND(O120*P120,2))</f>
        <v>0</v>
      </c>
      <c r="R120" s="199"/>
      <c r="S120" s="198"/>
    </row>
    <row r="121" customFormat="false" ht="17.9" hidden="false" customHeight="false" outlineLevel="0" collapsed="false">
      <c r="A121" s="128"/>
      <c r="B121" s="128"/>
      <c r="C121" s="36"/>
      <c r="D121" s="139" t="s">
        <v>114</v>
      </c>
      <c r="E121" s="130" t="str">
        <f aca="false">IF(D121="","",VLOOKUP(D121,matriz_codigo_prezos,2,FALSE()))</f>
        <v>Determinación do contido de materia orgánica oxidable polo método do permanganato potásico UNE EN 103204 ou equivalente</v>
      </c>
      <c r="F121" s="131" t="n">
        <v>5000</v>
      </c>
      <c r="G121" s="129" t="s">
        <v>54</v>
      </c>
      <c r="H121" s="157" t="n">
        <v>1</v>
      </c>
      <c r="I121" s="133" t="n">
        <f aca="false">IF($A$118="",0,IF(($A$118/F121)&gt;4,ROUNDUP($A$118/F121,0), 4))</f>
        <v>0</v>
      </c>
      <c r="J121" s="133"/>
      <c r="K121" s="134" t="n">
        <f aca="false">$N$6</f>
        <v>0.3</v>
      </c>
      <c r="L121" s="129" t="n">
        <f aca="false">IF(O121=0,0,ROUNDUP(O121*K121,0))</f>
        <v>0</v>
      </c>
      <c r="M121" s="135" t="n">
        <f aca="false">P121</f>
        <v>35</v>
      </c>
      <c r="N121" s="136" t="n">
        <f aca="false">ROUND(L121*M121,2)</f>
        <v>0</v>
      </c>
      <c r="O121" s="137" t="n">
        <f aca="false">INT(I121*H121)</f>
        <v>0</v>
      </c>
      <c r="P121" s="135" t="n">
        <f aca="false">IF(D121="","",VLOOKUP(D121,matriz_codigo_prezos,6,FALSE()))</f>
        <v>35</v>
      </c>
      <c r="Q121" s="138" t="n">
        <f aca="false">IF(O121="","",ROUND(O121*P121,2))</f>
        <v>0</v>
      </c>
      <c r="R121" s="199"/>
      <c r="S121" s="198"/>
    </row>
    <row r="122" customFormat="false" ht="17.9" hidden="false" customHeight="false" outlineLevel="0" collapsed="false">
      <c r="A122" s="128"/>
      <c r="B122" s="128"/>
      <c r="C122" s="36"/>
      <c r="D122" s="139" t="s">
        <v>115</v>
      </c>
      <c r="E122" s="130" t="str">
        <f aca="false">IF(D122="","",VLOOKUP(D122,matriz_codigo_prezos,2,FALSE()))</f>
        <v>Determinación cuantitativa do contido de sulfatos solubles UNE EN 103201 ou equivalente</v>
      </c>
      <c r="F122" s="131" t="n">
        <v>5000</v>
      </c>
      <c r="G122" s="129" t="s">
        <v>54</v>
      </c>
      <c r="H122" s="132" t="n">
        <v>1</v>
      </c>
      <c r="I122" s="133" t="n">
        <f aca="false">IF($A$118="",0,IF(($A$118/F122)&gt;4,ROUNDUP($A$118/F122,0), 4))</f>
        <v>0</v>
      </c>
      <c r="J122" s="133"/>
      <c r="K122" s="134" t="n">
        <f aca="false">$N$6</f>
        <v>0.3</v>
      </c>
      <c r="L122" s="129" t="n">
        <f aca="false">IF(O122=0,0,ROUNDUP(O122*K122,0))</f>
        <v>0</v>
      </c>
      <c r="M122" s="135" t="n">
        <f aca="false">P122</f>
        <v>70</v>
      </c>
      <c r="N122" s="136" t="n">
        <f aca="false">ROUND(L122*M122,2)</f>
        <v>0</v>
      </c>
      <c r="O122" s="137" t="n">
        <f aca="false">INT(I122*H122)</f>
        <v>0</v>
      </c>
      <c r="P122" s="135" t="n">
        <f aca="false">IF(D122="","",VLOOKUP(D122,matriz_codigo_prezos,6,FALSE()))</f>
        <v>70</v>
      </c>
      <c r="Q122" s="138" t="n">
        <f aca="false">IF(O122="","",ROUND(O122*P122,2))</f>
        <v>0</v>
      </c>
      <c r="R122" s="199"/>
      <c r="S122" s="198"/>
    </row>
    <row r="123" customFormat="false" ht="13.8" hidden="false" customHeight="false" outlineLevel="0" collapsed="false">
      <c r="A123" s="128"/>
      <c r="B123" s="128"/>
      <c r="C123" s="36"/>
      <c r="D123" s="139" t="s">
        <v>116</v>
      </c>
      <c r="E123" s="130" t="str">
        <f aca="false">IF(D123="","",VLOOKUP(D123,matriz_codigo_prezos,2,FALSE()))</f>
        <v>Ensaio de hinchamento libre no edómetro UNE 103601 ou equivalente</v>
      </c>
      <c r="F123" s="131" t="n">
        <v>5000</v>
      </c>
      <c r="G123" s="129" t="s">
        <v>54</v>
      </c>
      <c r="H123" s="132" t="n">
        <v>1</v>
      </c>
      <c r="I123" s="133" t="n">
        <f aca="false">IF($A$118="",0,IF(($A$118/F123)&gt;4,ROUNDUP($A$118/F123,0), 4))</f>
        <v>0</v>
      </c>
      <c r="J123" s="133"/>
      <c r="K123" s="134" t="n">
        <f aca="false">$N$6</f>
        <v>0.3</v>
      </c>
      <c r="L123" s="129" t="n">
        <f aca="false">IF(O123=0,0,ROUNDUP(O123*K123,0))</f>
        <v>0</v>
      </c>
      <c r="M123" s="135" t="n">
        <f aca="false">P123</f>
        <v>83</v>
      </c>
      <c r="N123" s="136" t="n">
        <f aca="false">ROUND(L123*M123,2)</f>
        <v>0</v>
      </c>
      <c r="O123" s="137" t="n">
        <f aca="false">INT(I123*H123)</f>
        <v>0</v>
      </c>
      <c r="P123" s="135" t="n">
        <f aca="false">IF(D123="","",VLOOKUP(D123,matriz_codigo_prezos,6,FALSE()))</f>
        <v>83</v>
      </c>
      <c r="Q123" s="138" t="n">
        <f aca="false">IF(O123="","",ROUND(O123*P123,2))</f>
        <v>0</v>
      </c>
      <c r="R123" s="199"/>
      <c r="S123" s="198"/>
    </row>
    <row r="124" customFormat="false" ht="13.8" hidden="false" customHeight="false" outlineLevel="0" collapsed="false">
      <c r="A124" s="128"/>
      <c r="B124" s="128"/>
      <c r="C124" s="36"/>
      <c r="D124" s="139" t="s">
        <v>117</v>
      </c>
      <c r="E124" s="130" t="str">
        <f aca="false">IF(D124="","",VLOOKUP(D124,matriz_codigo_prezos,2,FALSE()))</f>
        <v>Ensaio de colapso en solo UNE 103406 ou equivalente</v>
      </c>
      <c r="F124" s="131" t="n">
        <v>5000</v>
      </c>
      <c r="G124" s="129" t="s">
        <v>54</v>
      </c>
      <c r="H124" s="132" t="n">
        <v>1</v>
      </c>
      <c r="I124" s="133" t="n">
        <f aca="false">IF($A$118="",0,IF(($A$118/F124)&gt;4,ROUNDUP($A$118/F124,0), 4))</f>
        <v>0</v>
      </c>
      <c r="J124" s="133"/>
      <c r="K124" s="134" t="n">
        <f aca="false">$N$6</f>
        <v>0.3</v>
      </c>
      <c r="L124" s="129" t="n">
        <f aca="false">IF(O124=0,0,ROUNDUP(O124*K124,0))</f>
        <v>0</v>
      </c>
      <c r="M124" s="135" t="n">
        <f aca="false">P124</f>
        <v>78</v>
      </c>
      <c r="N124" s="136" t="n">
        <f aca="false">ROUND(L124*M124,2)</f>
        <v>0</v>
      </c>
      <c r="O124" s="137" t="n">
        <f aca="false">INT(I124*H124)</f>
        <v>0</v>
      </c>
      <c r="P124" s="135" t="n">
        <f aca="false">IF(D124="","",VLOOKUP(D124,matriz_codigo_prezos,6,FALSE()))</f>
        <v>78</v>
      </c>
      <c r="Q124" s="138" t="n">
        <f aca="false">IF(O124="","",ROUND(O124*P124,2))</f>
        <v>0</v>
      </c>
      <c r="R124" s="199"/>
      <c r="S124" s="198"/>
    </row>
    <row r="125" customFormat="false" ht="13.8" hidden="false" customHeight="false" outlineLevel="0" collapsed="false">
      <c r="A125" s="106" t="s">
        <v>118</v>
      </c>
      <c r="B125" s="106"/>
      <c r="C125" s="106"/>
      <c r="D125" s="106"/>
      <c r="E125" s="107"/>
      <c r="F125" s="106"/>
      <c r="G125" s="108"/>
      <c r="H125" s="108"/>
      <c r="I125" s="108"/>
      <c r="J125" s="133"/>
      <c r="K125" s="161"/>
      <c r="L125" s="162"/>
      <c r="M125" s="135"/>
      <c r="N125" s="163"/>
      <c r="O125" s="164"/>
      <c r="P125" s="135"/>
      <c r="Q125" s="138"/>
      <c r="R125" s="199"/>
      <c r="S125" s="198"/>
    </row>
    <row r="126" customFormat="false" ht="34.3" hidden="false" customHeight="false" outlineLevel="0" collapsed="false">
      <c r="A126" s="115"/>
      <c r="B126" s="116" t="s">
        <v>119</v>
      </c>
      <c r="C126" s="148" t="s">
        <v>120</v>
      </c>
      <c r="D126" s="118"/>
      <c r="E126" s="119"/>
      <c r="F126" s="118"/>
      <c r="G126" s="120"/>
      <c r="H126" s="120"/>
      <c r="I126" s="120"/>
      <c r="J126" s="167"/>
      <c r="K126" s="143"/>
      <c r="L126" s="129"/>
      <c r="M126" s="135"/>
      <c r="N126" s="141"/>
      <c r="O126" s="137"/>
      <c r="P126" s="135"/>
      <c r="Q126" s="136"/>
      <c r="R126" s="197"/>
      <c r="S126" s="198"/>
    </row>
    <row r="127" customFormat="false" ht="13.8" hidden="false" customHeight="false" outlineLevel="0" collapsed="false">
      <c r="A127" s="128"/>
      <c r="B127" s="128"/>
      <c r="C127" s="36"/>
      <c r="D127" s="139" t="s">
        <v>121</v>
      </c>
      <c r="E127" s="130" t="str">
        <f aca="false">IF(D127="","",VLOOKUP(D127,matriz_codigo_prezos,2,FALSE()))</f>
        <v>Prazo de traballabilidade UNE 41240 ou equivalente</v>
      </c>
      <c r="F127" s="131" t="n">
        <v>1</v>
      </c>
      <c r="G127" s="129" t="s">
        <v>119</v>
      </c>
      <c r="H127" s="132" t="n">
        <v>3</v>
      </c>
      <c r="I127" s="133" t="n">
        <f aca="false">IF( A126=0,0, ROUNDUP(A126/F127,    0))</f>
        <v>0</v>
      </c>
      <c r="J127" s="146" t="s">
        <v>71</v>
      </c>
      <c r="K127" s="134" t="n">
        <f aca="false">$N$6</f>
        <v>0.3</v>
      </c>
      <c r="L127" s="129" t="n">
        <f aca="false">ROUNDUP(I127*H127*K127,0)</f>
        <v>0</v>
      </c>
      <c r="M127" s="135" t="n">
        <f aca="false">P127</f>
        <v>180</v>
      </c>
      <c r="N127" s="136" t="n">
        <f aca="false">ROUND(L127*M127,2)</f>
        <v>0</v>
      </c>
      <c r="O127" s="137" t="n">
        <f aca="false">INT(I127*H127)</f>
        <v>0</v>
      </c>
      <c r="P127" s="135" t="n">
        <f aca="false">IF(D127="","",VLOOKUP(D127,matriz_codigo_prezos,6,FALSE()))</f>
        <v>180</v>
      </c>
      <c r="Q127" s="138" t="n">
        <f aca="false">IF(O127="","",ROUND(O127*P127,2))</f>
        <v>0</v>
      </c>
      <c r="R127" s="199"/>
      <c r="S127" s="198"/>
    </row>
    <row r="128" customFormat="false" ht="13.8" hidden="false" customHeight="false" outlineLevel="0" collapsed="false">
      <c r="A128" s="33"/>
      <c r="B128" s="33"/>
      <c r="C128" s="36"/>
      <c r="D128" s="139" t="s">
        <v>122</v>
      </c>
      <c r="E128" s="130" t="str">
        <f aca="false">IF(D128="","",VLOOKUP(D128,matriz_codigo_prezos,2,FALSE()))</f>
        <v>Índice CBR en Laboratorio, sen incluír Proctor UNE 103502 ou equivalente</v>
      </c>
      <c r="F128" s="131" t="n">
        <v>1</v>
      </c>
      <c r="G128" s="129" t="s">
        <v>119</v>
      </c>
      <c r="H128" s="132" t="n">
        <v>3</v>
      </c>
      <c r="I128" s="133" t="n">
        <f aca="false">IF(   AND(A$126&lt;&gt;0,OR(A$115=1,A$115=2)),   ROUNDUP(A$126/F128,0),0)</f>
        <v>0</v>
      </c>
      <c r="J128" s="146" t="s">
        <v>71</v>
      </c>
      <c r="K128" s="134" t="n">
        <f aca="false">$N$6</f>
        <v>0.3</v>
      </c>
      <c r="L128" s="129" t="n">
        <f aca="false">ROUNDUP(I128*H128*K128,0)</f>
        <v>0</v>
      </c>
      <c r="M128" s="135" t="n">
        <f aca="false">P128</f>
        <v>83</v>
      </c>
      <c r="N128" s="136" t="n">
        <f aca="false">ROUND(L128*M128,2)</f>
        <v>0</v>
      </c>
      <c r="O128" s="137" t="n">
        <f aca="false">INT(I128*H128)</f>
        <v>0</v>
      </c>
      <c r="P128" s="135" t="n">
        <f aca="false">IF(D128="","",VLOOKUP(D128,matriz_codigo_prezos,6,FALSE()))</f>
        <v>83</v>
      </c>
      <c r="Q128" s="138" t="n">
        <f aca="false">IF(O128="","",ROUND(O128*P128,2))</f>
        <v>0</v>
      </c>
      <c r="R128" s="203" t="s">
        <v>123</v>
      </c>
      <c r="S128" s="198"/>
    </row>
    <row r="129" customFormat="false" ht="17.9" hidden="false" customHeight="false" outlineLevel="0" collapsed="false">
      <c r="A129" s="128"/>
      <c r="B129" s="128"/>
      <c r="C129" s="36"/>
      <c r="D129" s="139" t="s">
        <v>124</v>
      </c>
      <c r="E129" s="130" t="str">
        <f aca="false">IF(D129="","",VLOOKUP(D129,matriz_codigo_prezos,2,FALSE()))</f>
        <v>Resistencia a compresión simple a 7 días (fabricación de 3 probetas) UNE EN 13286-41 ou equivalente, UNE-EN 13286-51 ou equivalente</v>
      </c>
      <c r="F129" s="131" t="n">
        <v>1</v>
      </c>
      <c r="G129" s="129" t="s">
        <v>119</v>
      </c>
      <c r="H129" s="132" t="n">
        <v>3</v>
      </c>
      <c r="I129" s="133" t="n">
        <f aca="false">IF(   AND(  A$126&lt;&gt;0,A$115=3  ),   ROUNDUP(A$126/F129,0),0)</f>
        <v>0</v>
      </c>
      <c r="J129" s="146" t="s">
        <v>71</v>
      </c>
      <c r="K129" s="134" t="n">
        <f aca="false">$N$6</f>
        <v>0.3</v>
      </c>
      <c r="L129" s="129" t="n">
        <f aca="false">ROUNDUP(I129*H129*K129,0)</f>
        <v>0</v>
      </c>
      <c r="M129" s="135" t="n">
        <f aca="false">P129</f>
        <v>125</v>
      </c>
      <c r="N129" s="136" t="n">
        <f aca="false">ROUND(L129*M129,2)</f>
        <v>0</v>
      </c>
      <c r="O129" s="137" t="n">
        <f aca="false">INT(I129*H129)</f>
        <v>0</v>
      </c>
      <c r="P129" s="135" t="n">
        <f aca="false">IF(D129="","",VLOOKUP(D129,matriz_codigo_prezos,6,FALSE()))</f>
        <v>125</v>
      </c>
      <c r="Q129" s="138" t="n">
        <f aca="false">IF(O129="","",ROUND(O129*P129,2))</f>
        <v>0</v>
      </c>
      <c r="R129" s="203" t="s">
        <v>125</v>
      </c>
      <c r="S129" s="198"/>
    </row>
    <row r="130" customFormat="false" ht="13.8" hidden="false" customHeight="false" outlineLevel="0" collapsed="false">
      <c r="A130" s="106" t="s">
        <v>126</v>
      </c>
      <c r="B130" s="106"/>
      <c r="C130" s="106"/>
      <c r="D130" s="106"/>
      <c r="E130" s="107" t="str">
        <f aca="false">IF(D130="","",VLOOKUP(D130,matriz_codigo_prezos,2,FALSE()))</f>
        <v/>
      </c>
      <c r="F130" s="106"/>
      <c r="G130" s="108"/>
      <c r="H130" s="108"/>
      <c r="I130" s="108"/>
      <c r="J130" s="133"/>
      <c r="K130" s="134"/>
      <c r="L130" s="129"/>
      <c r="M130" s="135"/>
      <c r="N130" s="136"/>
      <c r="O130" s="137"/>
      <c r="P130" s="135"/>
      <c r="Q130" s="138"/>
      <c r="R130" s="199"/>
      <c r="S130" s="198"/>
    </row>
    <row r="131" customFormat="false" ht="26.1" hidden="false" customHeight="false" outlineLevel="0" collapsed="false">
      <c r="A131" s="115"/>
      <c r="B131" s="116" t="s">
        <v>68</v>
      </c>
      <c r="C131" s="148" t="s">
        <v>127</v>
      </c>
      <c r="D131" s="118"/>
      <c r="E131" s="119"/>
      <c r="F131" s="118"/>
      <c r="G131" s="120"/>
      <c r="H131" s="120"/>
      <c r="I131" s="120"/>
      <c r="J131" s="167"/>
      <c r="K131" s="204"/>
      <c r="L131" s="129"/>
      <c r="M131" s="135"/>
      <c r="N131" s="136"/>
      <c r="O131" s="137"/>
      <c r="P131" s="135"/>
      <c r="Q131" s="136"/>
      <c r="R131" s="197"/>
      <c r="S131" s="198"/>
    </row>
    <row r="132" customFormat="false" ht="13.8" hidden="false" customHeight="false" outlineLevel="0" collapsed="false">
      <c r="A132" s="128"/>
      <c r="B132" s="128"/>
      <c r="C132" s="36"/>
      <c r="D132" s="139" t="s">
        <v>128</v>
      </c>
      <c r="E132" s="130" t="str">
        <f aca="false">IF(D132="","",VLOOKUP(D132,matriz_codigo_prezos,2,FALSE()))</f>
        <v>Humidade natural UNE EN 1097-5 ou equivalente</v>
      </c>
      <c r="F132" s="131" t="n">
        <v>3500</v>
      </c>
      <c r="G132" s="129" t="s">
        <v>68</v>
      </c>
      <c r="H132" s="132" t="n">
        <v>2</v>
      </c>
      <c r="I132" s="133" t="n">
        <f aca="false">IF( A$131=0,0, ROUNDUP(A$131/F132,    0))</f>
        <v>0</v>
      </c>
      <c r="J132" s="146" t="s">
        <v>71</v>
      </c>
      <c r="K132" s="134" t="n">
        <f aca="false">$N$6</f>
        <v>0.3</v>
      </c>
      <c r="L132" s="129" t="n">
        <f aca="false">ROUNDUP(I132*H132*K132,0)</f>
        <v>0</v>
      </c>
      <c r="M132" s="135" t="n">
        <f aca="false">P132</f>
        <v>16</v>
      </c>
      <c r="N132" s="136" t="n">
        <f aca="false">ROUND(L132*M132,2)</f>
        <v>0</v>
      </c>
      <c r="O132" s="137" t="n">
        <f aca="false">INT(I132*H132)</f>
        <v>0</v>
      </c>
      <c r="P132" s="135" t="n">
        <f aca="false">IF(D132="","",VLOOKUP(D132,matriz_codigo_prezos,6,FALSE()))</f>
        <v>16</v>
      </c>
      <c r="Q132" s="138" t="n">
        <f aca="false">IF(O132="","",ROUND(O132*P132,2))</f>
        <v>0</v>
      </c>
      <c r="R132" s="203" t="s">
        <v>129</v>
      </c>
      <c r="S132" s="198"/>
    </row>
    <row r="133" customFormat="false" ht="13.8" hidden="false" customHeight="false" outlineLevel="0" collapsed="false">
      <c r="A133" s="33"/>
      <c r="B133" s="33"/>
      <c r="C133" s="36"/>
      <c r="D133" s="139" t="s">
        <v>122</v>
      </c>
      <c r="E133" s="130" t="str">
        <f aca="false">IF(D133="","",VLOOKUP(D133,matriz_codigo_prezos,2,FALSE()))</f>
        <v>Índice CBR en Laboratorio, sen incluír Proctor UNE 103502 ou equivalente</v>
      </c>
      <c r="F133" s="131" t="n">
        <v>3500</v>
      </c>
      <c r="G133" s="129" t="s">
        <v>68</v>
      </c>
      <c r="H133" s="132" t="n">
        <v>2</v>
      </c>
      <c r="I133" s="133" t="n">
        <f aca="false">IF(   AND( A$131&lt;&gt;0, OR(A$115=1,A$115=2) ),   ROUNDUP(A$131/F133,0),0)</f>
        <v>0</v>
      </c>
      <c r="J133" s="146" t="s">
        <v>71</v>
      </c>
      <c r="K133" s="134" t="n">
        <f aca="false">$N$6</f>
        <v>0.3</v>
      </c>
      <c r="L133" s="129" t="n">
        <f aca="false">ROUNDUP(I133*H133*K133,0)</f>
        <v>0</v>
      </c>
      <c r="M133" s="135" t="n">
        <f aca="false">P133</f>
        <v>83</v>
      </c>
      <c r="N133" s="136" t="n">
        <f aca="false">ROUND(L133*M133,2)</f>
        <v>0</v>
      </c>
      <c r="O133" s="137" t="n">
        <f aca="false">INT(I133*H133)</f>
        <v>0</v>
      </c>
      <c r="P133" s="135" t="n">
        <f aca="false">IF(D133="","",VLOOKUP(D133,matriz_codigo_prezos,6,FALSE()))</f>
        <v>83</v>
      </c>
      <c r="Q133" s="138" t="n">
        <f aca="false">IF(O133="","",ROUND(O133*P133,2))</f>
        <v>0</v>
      </c>
      <c r="R133" s="203" t="s">
        <v>130</v>
      </c>
      <c r="S133" s="198"/>
    </row>
    <row r="134" customFormat="false" ht="17.9" hidden="false" customHeight="false" outlineLevel="0" collapsed="false">
      <c r="A134" s="128"/>
      <c r="B134" s="128"/>
      <c r="C134" s="36"/>
      <c r="D134" s="139" t="s">
        <v>124</v>
      </c>
      <c r="E134" s="130" t="str">
        <f aca="false">IF(D134="","",VLOOKUP(D134,matriz_codigo_prezos,2,FALSE()))</f>
        <v>Resistencia a compresión simple a 7 días (fabricación de 3 probetas) UNE EN 13286-41 ou equivalente, UNE-EN 13286-51 ou equivalente</v>
      </c>
      <c r="F134" s="131" t="n">
        <v>3500</v>
      </c>
      <c r="G134" s="129" t="s">
        <v>68</v>
      </c>
      <c r="H134" s="132" t="n">
        <v>2</v>
      </c>
      <c r="I134" s="133" t="n">
        <f aca="false">IF(AND(A$131&lt;&gt;0,A$115=3),   ROUNDUP(A$131/F134,0),0)</f>
        <v>0</v>
      </c>
      <c r="J134" s="146" t="s">
        <v>71</v>
      </c>
      <c r="K134" s="134" t="n">
        <f aca="false">$N$6</f>
        <v>0.3</v>
      </c>
      <c r="L134" s="129" t="n">
        <f aca="false">ROUNDUP(I134*H134*K134,0)</f>
        <v>0</v>
      </c>
      <c r="M134" s="135" t="n">
        <f aca="false">P134</f>
        <v>125</v>
      </c>
      <c r="N134" s="136" t="n">
        <f aca="false">ROUND(L134*M134,2)</f>
        <v>0</v>
      </c>
      <c r="O134" s="137" t="n">
        <f aca="false">INT(I134*H134)</f>
        <v>0</v>
      </c>
      <c r="P134" s="135" t="n">
        <f aca="false">IF(D134="","",VLOOKUP(D134,matriz_codigo_prezos,6,FALSE()))</f>
        <v>125</v>
      </c>
      <c r="Q134" s="138" t="n">
        <f aca="false">IF(O134="","",ROUND(O134*P134,2))</f>
        <v>0</v>
      </c>
      <c r="R134" s="203" t="s">
        <v>131</v>
      </c>
      <c r="S134" s="198"/>
    </row>
    <row r="135" customFormat="false" ht="26.1" hidden="false" customHeight="false" outlineLevel="0" collapsed="false">
      <c r="A135" s="128"/>
      <c r="B135" s="128"/>
      <c r="C135" s="36"/>
      <c r="D135" s="139" t="s">
        <v>70</v>
      </c>
      <c r="E135" s="130" t="str">
        <f aca="false">IF(D135="","",VLOOKUP(D135,matriz_codigo_prezos,2,FALSE()))</f>
        <v>Determinación da densidade "in situ", incluíndo humidade por medio de isótopos radiactivos (mínimo  10 determinacións) UNE 103900 ou equivalente</v>
      </c>
      <c r="F135" s="131" t="n">
        <v>3500</v>
      </c>
      <c r="G135" s="129" t="s">
        <v>68</v>
      </c>
      <c r="H135" s="132" t="n">
        <v>7</v>
      </c>
      <c r="I135" s="133" t="n">
        <f aca="false">IF( A$131=0,0, ROUNDUP(A$131/F135,    0))</f>
        <v>0</v>
      </c>
      <c r="J135" s="146" t="s">
        <v>71</v>
      </c>
      <c r="K135" s="134" t="n">
        <f aca="false">$N$6</f>
        <v>0.3</v>
      </c>
      <c r="L135" s="129" t="n">
        <f aca="false">IF( A131&lt;&gt;0, MAX( 10, ROUNDUP(I135*H135*K135,0) ),0)</f>
        <v>0</v>
      </c>
      <c r="M135" s="135" t="n">
        <f aca="false">P135</f>
        <v>28</v>
      </c>
      <c r="N135" s="136" t="n">
        <f aca="false">ROUND(L135*M135,2)</f>
        <v>0</v>
      </c>
      <c r="O135" s="137" t="n">
        <f aca="false">IF( A131&lt;&gt;0,  MAX( 10, INT(I135*H135) ),   0 )</f>
        <v>0</v>
      </c>
      <c r="P135" s="135" t="n">
        <f aca="false">IF(D135="","",VLOOKUP(D135,matriz_codigo_prezos,6,FALSE()))</f>
        <v>28</v>
      </c>
      <c r="Q135" s="138" t="n">
        <f aca="false">IF(O135="","",ROUND(O135*P135,2))</f>
        <v>0</v>
      </c>
      <c r="R135" s="203"/>
      <c r="S135" s="198"/>
    </row>
    <row r="136" customFormat="false" ht="13.8" hidden="false" customHeight="false" outlineLevel="0" collapsed="false">
      <c r="A136" s="115"/>
      <c r="B136" s="116" t="s">
        <v>54</v>
      </c>
      <c r="C136" s="205" t="s">
        <v>132</v>
      </c>
      <c r="D136" s="139"/>
      <c r="E136" s="130"/>
      <c r="F136" s="131"/>
      <c r="G136" s="129"/>
      <c r="H136" s="132"/>
      <c r="I136" s="133"/>
      <c r="J136" s="167"/>
      <c r="K136" s="204"/>
      <c r="L136" s="129"/>
      <c r="M136" s="135"/>
      <c r="N136" s="136"/>
      <c r="O136" s="137"/>
      <c r="P136" s="135"/>
      <c r="Q136" s="136"/>
      <c r="R136" s="197"/>
      <c r="S136" s="198"/>
    </row>
    <row r="137" customFormat="false" ht="13.8" hidden="false" customHeight="false" outlineLevel="0" collapsed="false">
      <c r="A137" s="33"/>
      <c r="B137" s="33"/>
      <c r="C137" s="36"/>
      <c r="D137" s="139" t="s">
        <v>133</v>
      </c>
      <c r="E137" s="130" t="str">
        <f aca="false">IF(D137="","",VLOOKUP(D137,matriz_codigo_prezos,2,FALSE()))</f>
        <v>Ensaio de compactación Proctor Modificado UNE 103501 ou equivalente</v>
      </c>
      <c r="F137" s="131" t="n">
        <v>10000</v>
      </c>
      <c r="G137" s="129" t="s">
        <v>54</v>
      </c>
      <c r="H137" s="132" t="n">
        <v>1</v>
      </c>
      <c r="I137" s="206" t="n">
        <f aca="false">IF( A1360,0, ROUNDUP(A136/F137,    0))</f>
        <v>0</v>
      </c>
      <c r="J137" s="146" t="s">
        <v>71</v>
      </c>
      <c r="K137" s="134" t="n">
        <f aca="false">$N$6</f>
        <v>0.3</v>
      </c>
      <c r="L137" s="129" t="n">
        <f aca="false">ROUNDUP(I137*H137*K137,0)</f>
        <v>0</v>
      </c>
      <c r="M137" s="135" t="n">
        <f aca="false">P137</f>
        <v>92</v>
      </c>
      <c r="N137" s="136" t="n">
        <f aca="false">ROUND(L137*M137,2)</f>
        <v>0</v>
      </c>
      <c r="O137" s="137" t="n">
        <f aca="false">INT(I137*H137)</f>
        <v>0</v>
      </c>
      <c r="P137" s="135" t="n">
        <f aca="false">IF(D137="","",VLOOKUP(D137,matriz_codigo_prezos,6,FALSE()))</f>
        <v>92</v>
      </c>
      <c r="Q137" s="138" t="n">
        <f aca="false">IF(O137="","",ROUND(O137*P137,2))</f>
        <v>0</v>
      </c>
      <c r="R137" s="199"/>
      <c r="S137" s="198"/>
    </row>
    <row r="138" customFormat="false" ht="30.55" hidden="false" customHeight="false" outlineLevel="0" collapsed="false">
      <c r="A138" s="207" t="s">
        <v>134</v>
      </c>
      <c r="B138" s="106"/>
      <c r="C138" s="106"/>
      <c r="D138" s="207"/>
      <c r="E138" s="208" t="str">
        <f aca="false">IF(D138="","",VLOOKUP(D138,matriz_codigo_prezos,2,FALSE()))</f>
        <v/>
      </c>
      <c r="F138" s="207"/>
      <c r="G138" s="209"/>
      <c r="H138" s="209"/>
      <c r="I138" s="209"/>
      <c r="J138" s="133"/>
      <c r="K138" s="134"/>
      <c r="L138" s="129"/>
      <c r="M138" s="135"/>
      <c r="N138" s="136"/>
      <c r="O138" s="137"/>
      <c r="P138" s="135"/>
      <c r="Q138" s="138"/>
      <c r="R138" s="199"/>
      <c r="S138" s="198"/>
    </row>
    <row r="139" customFormat="false" ht="13.8" hidden="false" customHeight="false" outlineLevel="0" collapsed="false">
      <c r="A139" s="115"/>
      <c r="B139" s="116" t="s">
        <v>68</v>
      </c>
      <c r="C139" s="205" t="s">
        <v>127</v>
      </c>
      <c r="D139" s="139"/>
      <c r="E139" s="130"/>
      <c r="F139" s="131"/>
      <c r="G139" s="129"/>
      <c r="H139" s="132"/>
      <c r="I139" s="133"/>
      <c r="J139" s="167"/>
      <c r="K139" s="204"/>
      <c r="L139" s="129"/>
      <c r="M139" s="135"/>
      <c r="N139" s="136"/>
      <c r="O139" s="137"/>
      <c r="P139" s="135"/>
      <c r="Q139" s="136"/>
      <c r="R139" s="197"/>
      <c r="S139" s="198"/>
    </row>
    <row r="140" customFormat="false" ht="17.9" hidden="false" customHeight="false" outlineLevel="0" collapsed="false">
      <c r="A140" s="210"/>
      <c r="B140" s="210"/>
      <c r="C140" s="211"/>
      <c r="D140" s="139" t="s">
        <v>72</v>
      </c>
      <c r="E140" s="130" t="str">
        <f aca="false">IF(D140="","",VLOOKUP(D140,matriz_codigo_prezos,2,FALSE()))</f>
        <v>Ensaio de Carga con Placa de 30cm UNE 103808 ou equivalente. Non inclúe preparación do dispositivo a reacción</v>
      </c>
      <c r="F140" s="212" t="n">
        <v>3500</v>
      </c>
      <c r="G140" s="213" t="s">
        <v>68</v>
      </c>
      <c r="H140" s="214" t="n">
        <v>1</v>
      </c>
      <c r="I140" s="206" t="n">
        <f aca="false">IF( A139=0,0, ROUNDUP(A139/F140,    0))</f>
        <v>0</v>
      </c>
      <c r="J140" s="146" t="s">
        <v>71</v>
      </c>
      <c r="K140" s="134" t="n">
        <f aca="false">$N$6</f>
        <v>0.3</v>
      </c>
      <c r="L140" s="129" t="n">
        <f aca="false">ROUNDUP(I140*H140*K140,0)</f>
        <v>0</v>
      </c>
      <c r="M140" s="135" t="n">
        <f aca="false">P140</f>
        <v>181</v>
      </c>
      <c r="N140" s="136" t="n">
        <f aca="false">ROUND(L140*M140,2)</f>
        <v>0</v>
      </c>
      <c r="O140" s="137" t="n">
        <f aca="false">INT(I140*H140)</f>
        <v>0</v>
      </c>
      <c r="P140" s="135" t="n">
        <f aca="false">IF(D140="","",VLOOKUP(D140,matriz_codigo_prezos,6,FALSE()))</f>
        <v>181</v>
      </c>
      <c r="Q140" s="138" t="n">
        <f aca="false">IF(O140="","",ROUND(O140*P140,2))</f>
        <v>0</v>
      </c>
      <c r="R140" s="199"/>
      <c r="S140" s="215"/>
      <c r="T140" s="210"/>
      <c r="V140" s="210"/>
      <c r="W140" s="210"/>
      <c r="X140" s="210"/>
      <c r="Y140" s="210"/>
      <c r="Z140" s="210"/>
      <c r="AA140" s="210"/>
      <c r="AB140" s="210"/>
      <c r="AC140" s="168"/>
      <c r="AD140" s="168"/>
      <c r="AE140" s="168"/>
      <c r="AF140" s="168"/>
      <c r="AG140" s="168"/>
      <c r="AH140" s="168"/>
      <c r="AI140" s="168"/>
      <c r="AJ140" s="168"/>
      <c r="AK140" s="168"/>
      <c r="AL140" s="168"/>
      <c r="AM140" s="168"/>
      <c r="AN140" s="168"/>
      <c r="AO140" s="168"/>
      <c r="AP140" s="168"/>
      <c r="AQ140" s="168"/>
      <c r="AR140" s="168"/>
      <c r="AS140" s="168"/>
      <c r="AT140" s="168"/>
      <c r="AU140" s="168"/>
      <c r="AV140" s="168"/>
      <c r="AW140" s="168"/>
      <c r="AX140" s="168"/>
      <c r="AY140" s="168"/>
      <c r="AZ140" s="168"/>
      <c r="BA140" s="168"/>
      <c r="BB140" s="168"/>
      <c r="BC140" s="168"/>
      <c r="BD140" s="168"/>
      <c r="BE140" s="168"/>
      <c r="BF140" s="168"/>
      <c r="BG140" s="168"/>
      <c r="BH140" s="168"/>
      <c r="BI140" s="168"/>
      <c r="BJ140" s="168"/>
      <c r="BK140" s="168"/>
      <c r="BL140" s="168"/>
    </row>
    <row r="141" customFormat="false" ht="13.8" hidden="false" customHeight="false" outlineLevel="0" collapsed="false">
      <c r="A141" s="115"/>
      <c r="B141" s="116" t="s">
        <v>135</v>
      </c>
      <c r="C141" s="205" t="s">
        <v>136</v>
      </c>
      <c r="D141" s="139"/>
      <c r="E141" s="130"/>
      <c r="F141" s="212"/>
      <c r="G141" s="213"/>
      <c r="H141" s="214"/>
      <c r="I141" s="133"/>
      <c r="J141" s="167"/>
      <c r="K141" s="216"/>
      <c r="L141" s="213"/>
      <c r="M141" s="135"/>
      <c r="N141" s="217"/>
      <c r="O141" s="218"/>
      <c r="P141" s="135"/>
      <c r="Q141" s="136"/>
      <c r="R141" s="219" t="s">
        <v>137</v>
      </c>
      <c r="S141" s="215"/>
      <c r="T141" s="210"/>
      <c r="V141" s="210"/>
      <c r="W141" s="210"/>
      <c r="X141" s="210"/>
      <c r="Y141" s="210"/>
      <c r="Z141" s="210"/>
      <c r="AA141" s="210"/>
      <c r="AB141" s="210"/>
    </row>
    <row r="142" customFormat="false" ht="26.1" hidden="false" customHeight="false" outlineLevel="0" collapsed="false">
      <c r="A142" s="128"/>
      <c r="B142" s="128"/>
      <c r="C142" s="36"/>
      <c r="D142" s="139" t="s">
        <v>138</v>
      </c>
      <c r="E142" s="130" t="str">
        <f aca="false">IF(D142="","",VLOOKUP(D142,matriz_codigo_prezos,2,FALSE()))</f>
        <v>Unidade de movilización e desprazamento de perfilómetro láser, e informe de cálculo do índice de regularidade internacional IRI en pavimentos de estradas, NLT-330 ou equivalente</v>
      </c>
      <c r="F142" s="139"/>
      <c r="G142" s="129" t="s">
        <v>139</v>
      </c>
      <c r="H142" s="157" t="n">
        <v>1</v>
      </c>
      <c r="I142" s="133" t="n">
        <f aca="false">IF(    AND(  ISNUMBER(A$141), A$141&lt;&gt;0, OR(cat_Tp=0,cat_Tp=1,cat_Tp=2)  ), 1, 0)</f>
        <v>0</v>
      </c>
      <c r="J142" s="146" t="s">
        <v>71</v>
      </c>
      <c r="K142" s="134" t="n">
        <v>1</v>
      </c>
      <c r="L142" s="129" t="n">
        <f aca="false">ROUNDUP(I142*H142*K142,0)</f>
        <v>0</v>
      </c>
      <c r="M142" s="135" t="n">
        <f aca="false">P142</f>
        <v>2530</v>
      </c>
      <c r="N142" s="136" t="n">
        <f aca="false">ROUND(L142*M142,2)</f>
        <v>0</v>
      </c>
      <c r="O142" s="137" t="n">
        <v>0</v>
      </c>
      <c r="P142" s="135" t="n">
        <f aca="false">IF(D142="","",VLOOKUP(D142,matriz_codigo_prezos,6,FALSE()))</f>
        <v>2530</v>
      </c>
      <c r="Q142" s="138" t="n">
        <f aca="false">IF(O142="","",ROUND(O142*P142,2))</f>
        <v>0</v>
      </c>
      <c r="R142" s="203" t="s">
        <v>140</v>
      </c>
      <c r="S142" s="198"/>
    </row>
    <row r="143" customFormat="false" ht="13.8" hidden="false" customHeight="false" outlineLevel="0" collapsed="false">
      <c r="A143" s="210"/>
      <c r="B143" s="210"/>
      <c r="C143" s="211"/>
      <c r="D143" s="139" t="s">
        <v>141</v>
      </c>
      <c r="E143" s="130" t="str">
        <f aca="false">IF(D143="","",VLOOKUP(D143,matriz_codigo_prezos,2,FALSE()))</f>
        <v>Km. de medida con perfilómetro láser para cálculo de IRI</v>
      </c>
      <c r="F143" s="212" t="n">
        <v>1000</v>
      </c>
      <c r="G143" s="213" t="s">
        <v>135</v>
      </c>
      <c r="H143" s="220" t="n">
        <v>1</v>
      </c>
      <c r="I143" s="133" t="n">
        <f aca="false">IF(    AND(  ISNUMBER(A$141), A$141&lt;&gt;0, OR(cat_Tp=0,cat_Tp=1,cat_Tp=2)  ), ROUNDUP(A141/F143,0), 0)</f>
        <v>0</v>
      </c>
      <c r="J143" s="146" t="s">
        <v>71</v>
      </c>
      <c r="K143" s="134" t="n">
        <v>1</v>
      </c>
      <c r="L143" s="129" t="n">
        <f aca="false">ROUNDUP(I143*H143*K143,0)</f>
        <v>0</v>
      </c>
      <c r="M143" s="135" t="n">
        <f aca="false">P143</f>
        <v>17</v>
      </c>
      <c r="N143" s="136" t="n">
        <f aca="false">ROUND(L143*M143,2)</f>
        <v>0</v>
      </c>
      <c r="O143" s="137" t="n">
        <v>0</v>
      </c>
      <c r="P143" s="135" t="n">
        <f aca="false">IF(D143="","",VLOOKUP(D143,matriz_codigo_prezos,6,FALSE()))</f>
        <v>17</v>
      </c>
      <c r="Q143" s="138" t="n">
        <f aca="false">IF(O143="","",ROUND(O143*P143,2))</f>
        <v>0</v>
      </c>
      <c r="R143" s="203" t="s">
        <v>140</v>
      </c>
      <c r="S143" s="215"/>
      <c r="T143" s="210"/>
      <c r="V143" s="210"/>
      <c r="W143" s="210"/>
      <c r="X143" s="210"/>
      <c r="Y143" s="210"/>
      <c r="Z143" s="210"/>
      <c r="AA143" s="210"/>
      <c r="AB143" s="210"/>
      <c r="AC143" s="168"/>
      <c r="AD143" s="168"/>
      <c r="AE143" s="168"/>
      <c r="AF143" s="168"/>
      <c r="AG143" s="168"/>
      <c r="AH143" s="168"/>
      <c r="AI143" s="168"/>
      <c r="AJ143" s="168"/>
      <c r="AK143" s="168"/>
      <c r="AL143" s="168"/>
      <c r="AM143" s="168"/>
      <c r="AN143" s="168"/>
      <c r="AO143" s="168"/>
      <c r="AP143" s="168"/>
      <c r="AQ143" s="168"/>
      <c r="AR143" s="168"/>
      <c r="AS143" s="168"/>
      <c r="AT143" s="168"/>
      <c r="AU143" s="168"/>
      <c r="AV143" s="168"/>
      <c r="AW143" s="168"/>
      <c r="AX143" s="168"/>
      <c r="AY143" s="168"/>
      <c r="AZ143" s="168"/>
      <c r="BA143" s="168"/>
      <c r="BB143" s="168"/>
      <c r="BC143" s="168"/>
      <c r="BD143" s="168"/>
      <c r="BE143" s="168"/>
      <c r="BF143" s="168"/>
      <c r="BG143" s="168"/>
      <c r="BH143" s="168"/>
      <c r="BI143" s="168"/>
      <c r="BJ143" s="168"/>
      <c r="BK143" s="168"/>
      <c r="BL143" s="168"/>
    </row>
    <row r="144" customFormat="false" ht="26.1" hidden="false" customHeight="false" outlineLevel="0" collapsed="false">
      <c r="A144" s="210"/>
      <c r="B144" s="210"/>
      <c r="C144" s="36"/>
      <c r="D144" s="139" t="s">
        <v>142</v>
      </c>
      <c r="E144" s="130" t="str">
        <f aca="false">IF(D144="","",VLOOKUP(D144,matriz_codigo_prezos,2,FALSE()))</f>
        <v>Xornada de medida de deflexións mediante viga Benkelman (sen incluír elemento de reacción) NLT 356 ou equivalente. Entre 50-75 medidas por xornada.</v>
      </c>
      <c r="F144" s="131" t="n">
        <v>1</v>
      </c>
      <c r="G144" s="129" t="s">
        <v>143</v>
      </c>
      <c r="H144" s="157" t="n">
        <v>1</v>
      </c>
      <c r="I144" s="133" t="n">
        <f aca="false">IF(AND(A$141&lt;=3000, A$141=0, OR(cat_Tp=0,cat_Tp=1,cat_Tp=2)),  ROUNDUP($A$141/(1000*F144),0))</f>
        <v>0</v>
      </c>
      <c r="J144" s="146" t="s">
        <v>71</v>
      </c>
      <c r="K144" s="134" t="n">
        <v>1</v>
      </c>
      <c r="L144" s="129" t="n">
        <f aca="false">ROUNDUP(I144*H144*K144,0)</f>
        <v>0</v>
      </c>
      <c r="M144" s="135" t="n">
        <f aca="false">P144</f>
        <v>1208</v>
      </c>
      <c r="N144" s="136" t="n">
        <f aca="false">ROUND(L144*M144,2)</f>
        <v>0</v>
      </c>
      <c r="O144" s="137" t="n">
        <v>0</v>
      </c>
      <c r="P144" s="135" t="n">
        <f aca="false">IF(D144="","",VLOOKUP(D144,matriz_codigo_prezos,6,FALSE()))</f>
        <v>1208</v>
      </c>
      <c r="Q144" s="138" t="n">
        <f aca="false">IF(O144="","",ROUND(O144*P144,2))</f>
        <v>0</v>
      </c>
      <c r="R144" s="203" t="s">
        <v>144</v>
      </c>
      <c r="S144" s="215"/>
      <c r="T144" s="210"/>
      <c r="V144" s="210"/>
      <c r="W144" s="210"/>
      <c r="X144" s="210"/>
      <c r="Y144" s="210"/>
      <c r="Z144" s="210"/>
      <c r="AA144" s="210"/>
      <c r="AB144" s="210"/>
    </row>
    <row r="145" customFormat="false" ht="26.1" hidden="false" customHeight="false" outlineLevel="0" collapsed="false">
      <c r="A145" s="128"/>
      <c r="B145" s="128"/>
      <c r="C145" s="36"/>
      <c r="D145" s="139" t="s">
        <v>145</v>
      </c>
      <c r="E145" s="130" t="str">
        <f aca="false">IF(D145="","",VLOOKUP(D145,matriz_codigo_prezos,2,FALSE()))</f>
        <v>Unidade de movilización e desprazamento de equipo para auscultación de deflexións mediante deflectómetro de impacto, incluído informe. Norma 6.1 IC</v>
      </c>
      <c r="F145" s="139"/>
      <c r="G145" s="129" t="s">
        <v>139</v>
      </c>
      <c r="H145" s="157" t="n">
        <v>1</v>
      </c>
      <c r="I145" s="133" t="n">
        <f aca="false">IF(     AND(   A$141&gt;3000, A$141&lt;&gt;0, OR( cat_Tp=0,cat_Tp=1,cat_Tp=2 )   ),1,0)</f>
        <v>0</v>
      </c>
      <c r="J145" s="146" t="s">
        <v>71</v>
      </c>
      <c r="K145" s="134" t="n">
        <v>1</v>
      </c>
      <c r="L145" s="129" t="n">
        <f aca="false">ROUNDUP(I145*H145*K145,0)</f>
        <v>0</v>
      </c>
      <c r="M145" s="135" t="n">
        <f aca="false">P145</f>
        <v>3500</v>
      </c>
      <c r="N145" s="136" t="n">
        <f aca="false">ROUND(L145*M145,2)</f>
        <v>0</v>
      </c>
      <c r="O145" s="137" t="n">
        <v>0</v>
      </c>
      <c r="P145" s="135" t="n">
        <f aca="false">IF(D145="","",VLOOKUP(D145,matriz_codigo_prezos,6,FALSE()))</f>
        <v>3500</v>
      </c>
      <c r="Q145" s="138" t="n">
        <f aca="false">IF(O145="","",ROUND(O145*P145,2))</f>
        <v>0</v>
      </c>
      <c r="R145" s="203" t="s">
        <v>146</v>
      </c>
      <c r="S145" s="198"/>
    </row>
    <row r="146" customFormat="false" ht="13.8" hidden="false" customHeight="false" outlineLevel="0" collapsed="false">
      <c r="A146" s="128"/>
      <c r="B146" s="128"/>
      <c r="C146" s="36"/>
      <c r="D146" s="139" t="s">
        <v>147</v>
      </c>
      <c r="E146" s="130" t="str">
        <f aca="false">IF(D146="","",VLOOKUP(D146,matriz_codigo_prezos,2,FALSE()))</f>
        <v>Km. de medida con deflectómetro de impacto cada 20 m</v>
      </c>
      <c r="F146" s="131" t="n">
        <v>1000</v>
      </c>
      <c r="G146" s="129" t="s">
        <v>135</v>
      </c>
      <c r="H146" s="157" t="n">
        <v>1</v>
      </c>
      <c r="I146" s="133" t="n">
        <f aca="false">IF(     AND(   ISNUMBER(A$141), A$141&gt;3000, OR(cat_Tp=0,cat_Tp=1,cat_Tp=2 )   ),ROUNDUP(A$141/F146,0),0)</f>
        <v>0</v>
      </c>
      <c r="J146" s="146" t="s">
        <v>71</v>
      </c>
      <c r="K146" s="134" t="n">
        <v>1</v>
      </c>
      <c r="L146" s="129" t="n">
        <f aca="false">ROUNDUP(I146*H146*K146,0)</f>
        <v>0</v>
      </c>
      <c r="M146" s="135" t="n">
        <f aca="false">P146</f>
        <v>150</v>
      </c>
      <c r="N146" s="136" t="n">
        <f aca="false">ROUND(L146*M146,2)</f>
        <v>0</v>
      </c>
      <c r="O146" s="137" t="n">
        <v>0</v>
      </c>
      <c r="P146" s="135" t="n">
        <f aca="false">IF(D146="","",VLOOKUP(D146,matriz_codigo_prezos,6,FALSE()))</f>
        <v>150</v>
      </c>
      <c r="Q146" s="138" t="n">
        <f aca="false">IF(O146="","",ROUND(O146*P146,2))</f>
        <v>0</v>
      </c>
      <c r="R146" s="203" t="s">
        <v>146</v>
      </c>
      <c r="S146" s="221"/>
      <c r="T146" s="114"/>
      <c r="V146" s="114"/>
      <c r="W146" s="114"/>
      <c r="X146" s="114"/>
      <c r="Y146" s="114"/>
      <c r="Z146" s="114"/>
      <c r="AA146" s="114"/>
      <c r="AB146" s="114"/>
    </row>
    <row r="147" customFormat="false" ht="13.8" hidden="false" customHeight="false" outlineLevel="0" collapsed="false">
      <c r="C147" s="73"/>
      <c r="D147" s="139"/>
      <c r="E147" s="130" t="str">
        <f aca="false">IF(D147="","",VLOOKUP(D147,matriz_codigo_prezos,2,FALSE()))</f>
        <v/>
      </c>
      <c r="F147" s="25"/>
      <c r="G147" s="121"/>
      <c r="H147" s="121"/>
      <c r="I147" s="133"/>
      <c r="J147" s="133"/>
      <c r="K147" s="159"/>
      <c r="L147" s="129"/>
      <c r="M147" s="135"/>
      <c r="N147" s="136"/>
      <c r="O147" s="137"/>
      <c r="P147" s="135"/>
      <c r="Q147" s="138"/>
      <c r="R147" s="199"/>
      <c r="S147" s="198"/>
    </row>
    <row r="148" s="36" customFormat="true" ht="12.8" hidden="false" customHeight="false" outlineLevel="0" collapsed="false">
      <c r="A148" s="101" t="s">
        <v>148</v>
      </c>
      <c r="B148" s="101"/>
      <c r="C148" s="101"/>
      <c r="D148" s="101"/>
      <c r="E148" s="102" t="str">
        <f aca="false">IF(D148="","",VLOOKUP(D148,matriz_codigo_prezos,2,FALSE()))</f>
        <v/>
      </c>
      <c r="F148" s="101"/>
      <c r="G148" s="103"/>
      <c r="H148" s="103"/>
      <c r="I148" s="103"/>
      <c r="J148" s="103"/>
      <c r="K148" s="103"/>
      <c r="L148" s="103"/>
      <c r="M148" s="103"/>
      <c r="N148" s="103"/>
      <c r="O148" s="103"/>
      <c r="P148" s="103"/>
      <c r="Q148" s="103"/>
      <c r="R148" s="191"/>
      <c r="S148" s="222"/>
      <c r="U148" s="152"/>
    </row>
    <row r="149" s="36" customFormat="true" ht="12.8" hidden="false" customHeight="false" outlineLevel="0" collapsed="false">
      <c r="A149" s="106" t="s">
        <v>149</v>
      </c>
      <c r="B149" s="106"/>
      <c r="C149" s="106"/>
      <c r="D149" s="106"/>
      <c r="E149" s="107"/>
      <c r="F149" s="106"/>
      <c r="G149" s="108"/>
      <c r="H149" s="108"/>
      <c r="I149" s="108"/>
      <c r="J149" s="133"/>
      <c r="K149" s="223"/>
      <c r="L149" s="135"/>
      <c r="M149" s="135"/>
      <c r="N149" s="136"/>
      <c r="O149" s="135"/>
      <c r="P149" s="135"/>
      <c r="Q149" s="138"/>
      <c r="R149" s="224"/>
      <c r="S149" s="222"/>
      <c r="U149" s="152"/>
    </row>
    <row r="150" customFormat="false" ht="13.8" hidden="false" customHeight="false" outlineLevel="0" collapsed="false">
      <c r="A150" s="200" t="s">
        <v>110</v>
      </c>
      <c r="B150" s="201"/>
      <c r="C150" s="201"/>
      <c r="D150" s="201"/>
      <c r="E150" s="202"/>
      <c r="F150" s="33"/>
      <c r="G150" s="167"/>
      <c r="H150" s="167"/>
      <c r="I150" s="167"/>
      <c r="J150" s="167"/>
      <c r="K150" s="167"/>
      <c r="L150" s="167"/>
      <c r="M150" s="167"/>
      <c r="N150" s="167"/>
      <c r="O150" s="167"/>
      <c r="P150" s="167"/>
      <c r="Q150" s="167"/>
      <c r="R150" s="197"/>
      <c r="S150" s="198"/>
    </row>
    <row r="151" customFormat="false" ht="132.8" hidden="false" customHeight="false" outlineLevel="0" collapsed="false">
      <c r="A151" s="115"/>
      <c r="B151" s="116" t="s">
        <v>54</v>
      </c>
      <c r="C151" s="148" t="s">
        <v>150</v>
      </c>
      <c r="D151" s="118"/>
      <c r="E151" s="119"/>
      <c r="F151" s="118"/>
      <c r="G151" s="120"/>
      <c r="H151" s="120"/>
      <c r="I151" s="120"/>
      <c r="J151" s="167"/>
      <c r="K151" s="143"/>
      <c r="L151" s="129"/>
      <c r="M151" s="135"/>
      <c r="N151" s="141"/>
      <c r="O151" s="137"/>
      <c r="P151" s="135"/>
      <c r="Q151" s="136"/>
      <c r="R151" s="197"/>
      <c r="S151" s="198"/>
    </row>
    <row r="152" customFormat="false" ht="17.9" hidden="false" customHeight="false" outlineLevel="0" collapsed="false">
      <c r="A152" s="128"/>
      <c r="B152" s="128"/>
      <c r="C152" s="36"/>
      <c r="D152" s="129" t="s">
        <v>112</v>
      </c>
      <c r="E152" s="130" t="str">
        <f aca="false">IF(D152="","",VLOOKUP(D152,matriz_codigo_prezos,2,FALSE()))</f>
        <v>Análise granulométrica por tamizado (solos UNE 103101 ou equivalente) (aridos UNE EN 933-1 ou equivalente)</v>
      </c>
      <c r="F152" s="131" t="s">
        <v>151</v>
      </c>
      <c r="G152" s="129"/>
      <c r="H152" s="132" t="n">
        <v>1</v>
      </c>
      <c r="I152" s="133" t="n">
        <f aca="false">IF($A$151="",0,IF(($A$151)&gt;50000,ROUNDUP((4+($A$151-50000)/10000),0), 4))</f>
        <v>0</v>
      </c>
      <c r="J152" s="133"/>
      <c r="K152" s="134" t="n">
        <f aca="false">$N$6</f>
        <v>0.3</v>
      </c>
      <c r="L152" s="129" t="n">
        <f aca="false">IF(O152=0,0,ROUNDUP(O152*K152,0))</f>
        <v>0</v>
      </c>
      <c r="M152" s="135" t="n">
        <f aca="false">P152</f>
        <v>44</v>
      </c>
      <c r="N152" s="136" t="n">
        <f aca="false">ROUND(L152*M152,2)</f>
        <v>0</v>
      </c>
      <c r="O152" s="137" t="n">
        <f aca="false">INT(+I152*H152)</f>
        <v>0</v>
      </c>
      <c r="P152" s="135" t="n">
        <f aca="false">IF(D152="","",VLOOKUP(D152,matriz_codigo_prezos,6,FALSE()))</f>
        <v>44</v>
      </c>
      <c r="Q152" s="138" t="n">
        <f aca="false">IF(O152="","",ROUND(O152*P152,2))</f>
        <v>0</v>
      </c>
      <c r="R152" s="199"/>
      <c r="S152" s="198"/>
    </row>
    <row r="153" customFormat="false" ht="17.9" hidden="false" customHeight="false" outlineLevel="0" collapsed="false">
      <c r="A153" s="128"/>
      <c r="B153" s="128"/>
      <c r="C153" s="36"/>
      <c r="D153" s="139" t="s">
        <v>113</v>
      </c>
      <c r="E153" s="130" t="str">
        <f aca="false">IF(D153="","",VLOOKUP(D153,matriz_codigo_prezos,2,FALSE()))</f>
        <v>Límites de Atterberg. Límite líquido e limite plástico UNE 103103, 103104 ou equivalente</v>
      </c>
      <c r="F153" s="131" t="s">
        <v>151</v>
      </c>
      <c r="G153" s="129"/>
      <c r="H153" s="132" t="n">
        <v>1</v>
      </c>
      <c r="I153" s="133" t="n">
        <f aca="false">IF($A$151="",0,IF(($A$151)&gt;50000,ROUNDUP((4+($A$151-50000)/10000),0), 4))</f>
        <v>0</v>
      </c>
      <c r="J153" s="133"/>
      <c r="K153" s="134" t="n">
        <f aca="false">$N$6</f>
        <v>0.3</v>
      </c>
      <c r="L153" s="129" t="n">
        <f aca="false">IF(O153=0,0,ROUNDUP(O153*K153,0))</f>
        <v>0</v>
      </c>
      <c r="M153" s="135" t="n">
        <f aca="false">P153</f>
        <v>63</v>
      </c>
      <c r="N153" s="136" t="n">
        <f aca="false">ROUND(L153*M153,2)</f>
        <v>0</v>
      </c>
      <c r="O153" s="137" t="n">
        <f aca="false">INT(+I153*H153)</f>
        <v>0</v>
      </c>
      <c r="P153" s="135" t="n">
        <f aca="false">IF(D153="","",VLOOKUP(D153,matriz_codigo_prezos,6,FALSE()))</f>
        <v>63</v>
      </c>
      <c r="Q153" s="138" t="n">
        <f aca="false">IF(O153="","",ROUND(O153*P153,2))</f>
        <v>0</v>
      </c>
      <c r="R153" s="199"/>
      <c r="S153" s="225"/>
    </row>
    <row r="154" customFormat="false" ht="17.9" hidden="false" customHeight="false" outlineLevel="0" collapsed="false">
      <c r="A154" s="128"/>
      <c r="B154" s="128"/>
      <c r="C154" s="36"/>
      <c r="D154" s="139" t="s">
        <v>152</v>
      </c>
      <c r="E154" s="130" t="str">
        <f aca="false">IF(D154="","",VLOOKUP(D154,matriz_codigo_prezos,2,FALSE()))</f>
        <v>Resistencia á fragmentación Ensaio "Os Ánxeles" UNE EN 1097-2 ou equivalente</v>
      </c>
      <c r="F154" s="131" t="s">
        <v>151</v>
      </c>
      <c r="G154" s="129"/>
      <c r="H154" s="132" t="n">
        <v>1</v>
      </c>
      <c r="I154" s="133" t="n">
        <f aca="false">IF($A$151="",0,IF(($A$151)&gt;50000,ROUNDUP((4+($A$151-50000)/10000),0), 4))</f>
        <v>0</v>
      </c>
      <c r="J154" s="133"/>
      <c r="K154" s="134" t="n">
        <f aca="false">$N$6</f>
        <v>0.3</v>
      </c>
      <c r="L154" s="129" t="n">
        <f aca="false">IF(O154=0,0,ROUNDUP(O154*K154,0))</f>
        <v>0</v>
      </c>
      <c r="M154" s="135" t="n">
        <f aca="false">P154</f>
        <v>104</v>
      </c>
      <c r="N154" s="136" t="n">
        <f aca="false">ROUND(L154*M154,2)</f>
        <v>0</v>
      </c>
      <c r="O154" s="137" t="n">
        <f aca="false">INT(+I154*H154)</f>
        <v>0</v>
      </c>
      <c r="P154" s="135" t="n">
        <f aca="false">IF(D154="","",VLOOKUP(D154,matriz_codigo_prezos,6,FALSE()))</f>
        <v>104</v>
      </c>
      <c r="Q154" s="138" t="n">
        <f aca="false">IF(O154="","",ROUND(O154*P154,2))</f>
        <v>0</v>
      </c>
      <c r="R154" s="199"/>
      <c r="S154" s="226"/>
    </row>
    <row r="155" customFormat="false" ht="13.8" hidden="false" customHeight="false" outlineLevel="0" collapsed="false">
      <c r="A155" s="128"/>
      <c r="B155" s="128"/>
      <c r="C155" s="36"/>
      <c r="D155" s="139" t="s">
        <v>153</v>
      </c>
      <c r="E155" s="130" t="str">
        <f aca="false">IF(D155="","",VLOOKUP(D155,matriz_codigo_prezos,2,FALSE()))</f>
        <v>Equivalente de Area UNE EN 933-8 (Anexo A) ou equivalente</v>
      </c>
      <c r="F155" s="131" t="s">
        <v>151</v>
      </c>
      <c r="G155" s="129"/>
      <c r="H155" s="132" t="n">
        <v>1</v>
      </c>
      <c r="I155" s="133" t="n">
        <f aca="false">IF($A$151="",0,IF(($A$151)&gt;50000,ROUNDUP((4+($A$151-50000)/10000),0), 4))</f>
        <v>0</v>
      </c>
      <c r="J155" s="133"/>
      <c r="K155" s="134" t="n">
        <f aca="false">$N$6</f>
        <v>0.3</v>
      </c>
      <c r="L155" s="129" t="n">
        <f aca="false">IF(O155=0,0,ROUNDUP(O155*K155,0))</f>
        <v>0</v>
      </c>
      <c r="M155" s="135" t="n">
        <f aca="false">P155</f>
        <v>51</v>
      </c>
      <c r="N155" s="136" t="n">
        <f aca="false">ROUND(L155*M155,2)</f>
        <v>0</v>
      </c>
      <c r="O155" s="137" t="n">
        <f aca="false">INT(+I155*H155)</f>
        <v>0</v>
      </c>
      <c r="P155" s="135" t="n">
        <f aca="false">IF(D155="","",VLOOKUP(D155,matriz_codigo_prezos,6,FALSE()))</f>
        <v>51</v>
      </c>
      <c r="Q155" s="138" t="n">
        <f aca="false">IF(O155="","",ROUND(O155*P155,2))</f>
        <v>0</v>
      </c>
      <c r="R155" s="199"/>
      <c r="S155" s="198"/>
    </row>
    <row r="156" customFormat="false" ht="13.8" hidden="false" customHeight="false" outlineLevel="0" collapsed="false">
      <c r="A156" s="128"/>
      <c r="B156" s="128"/>
      <c r="C156" s="36"/>
      <c r="D156" s="139" t="s">
        <v>154</v>
      </c>
      <c r="E156" s="130" t="str">
        <f aca="false">IF(D156="","",VLOOKUP(D156,matriz_codigo_prezos,2,FALSE()))</f>
        <v>Índice de laxas do árido groso UNE EN 933-3 ou equivalente</v>
      </c>
      <c r="F156" s="131" t="s">
        <v>151</v>
      </c>
      <c r="G156" s="129"/>
      <c r="H156" s="132" t="n">
        <v>1</v>
      </c>
      <c r="I156" s="133" t="n">
        <f aca="false">IF($A$151="",0,IF(($A$151)&gt;50000,ROUNDUP((4+($A$151-50000)/10000),0), 4))</f>
        <v>0</v>
      </c>
      <c r="J156" s="133"/>
      <c r="K156" s="134" t="n">
        <f aca="false">$N$6</f>
        <v>0.3</v>
      </c>
      <c r="L156" s="129" t="n">
        <f aca="false">IF(O156=0,0,ROUNDUP(O156*K156,0))</f>
        <v>0</v>
      </c>
      <c r="M156" s="135" t="n">
        <f aca="false">P156</f>
        <v>66</v>
      </c>
      <c r="N156" s="136" t="n">
        <f aca="false">ROUND(L156*M156,2)</f>
        <v>0</v>
      </c>
      <c r="O156" s="137" t="n">
        <f aca="false">INT(+I156*H156)</f>
        <v>0</v>
      </c>
      <c r="P156" s="135" t="n">
        <f aca="false">IF(D156="","",VLOOKUP(D156,matriz_codigo_prezos,6,FALSE()))</f>
        <v>66</v>
      </c>
      <c r="Q156" s="138" t="n">
        <f aca="false">IF(O156="","",ROUND(O156*P156,2))</f>
        <v>0</v>
      </c>
      <c r="R156" s="224"/>
      <c r="S156" s="198"/>
    </row>
    <row r="157" customFormat="false" ht="13.8" hidden="false" customHeight="false" outlineLevel="0" collapsed="false">
      <c r="A157" s="128"/>
      <c r="B157" s="128"/>
      <c r="C157" s="36"/>
      <c r="D157" s="139" t="s">
        <v>155</v>
      </c>
      <c r="E157" s="130" t="str">
        <f aca="false">IF(D157="","",VLOOKUP(D157,matriz_codigo_prezos,2,FALSE()))</f>
        <v>Porcentaxe de caras de fractura do árido groso UNE EN 933-5 ou equivalente</v>
      </c>
      <c r="F157" s="131" t="s">
        <v>151</v>
      </c>
      <c r="G157" s="129"/>
      <c r="H157" s="132" t="n">
        <v>1</v>
      </c>
      <c r="I157" s="133" t="n">
        <f aca="false">IF($A$151="",0,IF(($A$151)&gt;50000,ROUNDUP((4+($A$151-50000)/10000),0), 4))</f>
        <v>0</v>
      </c>
      <c r="J157" s="133"/>
      <c r="K157" s="134" t="n">
        <f aca="false">$N$6</f>
        <v>0.3</v>
      </c>
      <c r="L157" s="129" t="n">
        <f aca="false">IF(O157=0,0,ROUNDUP(O157*K157,0))</f>
        <v>0</v>
      </c>
      <c r="M157" s="135" t="n">
        <f aca="false">P157</f>
        <v>35</v>
      </c>
      <c r="N157" s="136" t="n">
        <f aca="false">ROUND(L157*M157,2)</f>
        <v>0</v>
      </c>
      <c r="O157" s="137" t="n">
        <f aca="false">INT(+I157*H157)</f>
        <v>0</v>
      </c>
      <c r="P157" s="135" t="n">
        <f aca="false">IF(D157="","",VLOOKUP(D157,matriz_codigo_prezos,6,FALSE()))</f>
        <v>35</v>
      </c>
      <c r="Q157" s="138" t="n">
        <f aca="false">IF(O157="","",ROUND(O157*P157,2))</f>
        <v>0</v>
      </c>
      <c r="R157" s="224"/>
      <c r="S157" s="198"/>
    </row>
    <row r="158" customFormat="false" ht="13.8" hidden="false" customHeight="false" outlineLevel="0" collapsed="false">
      <c r="A158" s="128"/>
      <c r="B158" s="128"/>
      <c r="C158" s="36"/>
      <c r="D158" s="139" t="s">
        <v>128</v>
      </c>
      <c r="E158" s="130" t="str">
        <f aca="false">IF(D158="","",VLOOKUP(D158,matriz_codigo_prezos,2,FALSE()))</f>
        <v>Humidade natural UNE EN 1097-5 ou equivalente</v>
      </c>
      <c r="F158" s="131" t="s">
        <v>151</v>
      </c>
      <c r="G158" s="129"/>
      <c r="H158" s="132" t="n">
        <v>1</v>
      </c>
      <c r="I158" s="133" t="n">
        <f aca="false">IF($A$151="",0,IF(($A$151)&gt;50000,ROUNDUP((4+($A$151-50000)/10000),0), 4))</f>
        <v>0</v>
      </c>
      <c r="J158" s="133"/>
      <c r="K158" s="134" t="n">
        <f aca="false">$N$6</f>
        <v>0.3</v>
      </c>
      <c r="L158" s="129" t="n">
        <f aca="false">IF(O158=0,0,ROUNDUP(O158*K158,0))</f>
        <v>0</v>
      </c>
      <c r="M158" s="135" t="n">
        <f aca="false">P158</f>
        <v>16</v>
      </c>
      <c r="N158" s="136" t="n">
        <f aca="false">ROUND(L158*M158,2)</f>
        <v>0</v>
      </c>
      <c r="O158" s="137" t="n">
        <f aca="false">INT(+I158*H158)</f>
        <v>0</v>
      </c>
      <c r="P158" s="135" t="n">
        <f aca="false">IF(D158="","",VLOOKUP(D158,matriz_codigo_prezos,6,FALSE()))</f>
        <v>16</v>
      </c>
      <c r="Q158" s="138" t="n">
        <f aca="false">IF(O158="","",ROUND(O158*P158,2))</f>
        <v>0</v>
      </c>
      <c r="R158" s="199"/>
      <c r="S158" s="198"/>
    </row>
    <row r="159" customFormat="false" ht="13.8" hidden="false" customHeight="false" outlineLevel="0" collapsed="false">
      <c r="A159" s="128"/>
      <c r="B159" s="128"/>
      <c r="C159" s="36"/>
      <c r="D159" s="139" t="s">
        <v>156</v>
      </c>
      <c r="E159" s="130" t="str">
        <f aca="false">IF(D159="","",VLOOKUP(D159,matriz_codigo_prezos,2,FALSE()))</f>
        <v>Contido ponderal en xofre total UNE EN 1744-1 ou equivalente</v>
      </c>
      <c r="F159" s="131" t="s">
        <v>151</v>
      </c>
      <c r="G159" s="129"/>
      <c r="H159" s="132" t="n">
        <v>1</v>
      </c>
      <c r="I159" s="133" t="n">
        <f aca="false">IF($A$151="",0,IF(($A$151)&gt;50000,ROUNDUP((4+($A$151-50000)/10000),0), 4))</f>
        <v>0</v>
      </c>
      <c r="J159" s="133"/>
      <c r="K159" s="134" t="n">
        <f aca="false">$N$6</f>
        <v>0.3</v>
      </c>
      <c r="L159" s="129" t="n">
        <f aca="false">IF(O159=0,0,ROUNDUP(O159*K159,0))</f>
        <v>0</v>
      </c>
      <c r="M159" s="135" t="n">
        <f aca="false">P159</f>
        <v>283</v>
      </c>
      <c r="N159" s="136" t="n">
        <f aca="false">ROUND(L159*M159,2)</f>
        <v>0</v>
      </c>
      <c r="O159" s="137" t="n">
        <f aca="false">INT(+I159*H159)</f>
        <v>0</v>
      </c>
      <c r="P159" s="135" t="n">
        <f aca="false">IF(D159="","",VLOOKUP(D159,matriz_codigo_prezos,6,FALSE()))</f>
        <v>283</v>
      </c>
      <c r="Q159" s="138" t="n">
        <f aca="false">IF(O159="","",ROUND(O159*P159,2))</f>
        <v>0</v>
      </c>
      <c r="R159" s="199"/>
      <c r="S159" s="198"/>
    </row>
    <row r="160" customFormat="false" ht="13.8" hidden="false" customHeight="false" outlineLevel="0" collapsed="false">
      <c r="A160" s="128"/>
      <c r="B160" s="128"/>
      <c r="C160" s="36"/>
      <c r="D160" s="139" t="s">
        <v>157</v>
      </c>
      <c r="E160" s="130" t="str">
        <f aca="false">IF(D160="","",VLOOKUP(D160,matriz_codigo_prezos,2,FALSE()))</f>
        <v>Contido de finos do árido groso UNE-EN-933-1 ou equivalente</v>
      </c>
      <c r="F160" s="131" t="s">
        <v>151</v>
      </c>
      <c r="G160" s="129"/>
      <c r="H160" s="132" t="n">
        <v>1</v>
      </c>
      <c r="I160" s="133" t="n">
        <f aca="false">IF($A$151="",0,IF(($A$151)&gt;50000,ROUNDUP((4+($A$151-50000)/10000),0), 4))</f>
        <v>0</v>
      </c>
      <c r="J160" s="133"/>
      <c r="K160" s="134" t="n">
        <f aca="false">$N$6</f>
        <v>0.3</v>
      </c>
      <c r="L160" s="129" t="n">
        <f aca="false">IF(O160=0,0,ROUNDUP(O160*K160,0))</f>
        <v>0</v>
      </c>
      <c r="M160" s="135" t="n">
        <f aca="false">P160</f>
        <v>40</v>
      </c>
      <c r="N160" s="136" t="n">
        <f aca="false">ROUND(L160*M160,2)</f>
        <v>0</v>
      </c>
      <c r="O160" s="137" t="n">
        <f aca="false">INT(+I160*H160)</f>
        <v>0</v>
      </c>
      <c r="P160" s="135" t="n">
        <f aca="false">IF(D160="","",VLOOKUP(D160,matriz_codigo_prezos,6,FALSE()))</f>
        <v>40</v>
      </c>
      <c r="Q160" s="138" t="n">
        <f aca="false">IF(O160="","",ROUND(O160*P160,2))</f>
        <v>0</v>
      </c>
      <c r="R160" s="199"/>
      <c r="S160" s="198"/>
    </row>
    <row r="161" customFormat="false" ht="13.8" hidden="false" customHeight="false" outlineLevel="0" collapsed="false">
      <c r="A161" s="106" t="s">
        <v>158</v>
      </c>
      <c r="B161" s="106"/>
      <c r="C161" s="106"/>
      <c r="D161" s="106"/>
      <c r="E161" s="107"/>
      <c r="F161" s="106"/>
      <c r="G161" s="108"/>
      <c r="H161" s="108"/>
      <c r="I161" s="108"/>
      <c r="J161" s="133"/>
      <c r="K161" s="134"/>
      <c r="L161" s="129"/>
      <c r="M161" s="135"/>
      <c r="N161" s="136"/>
      <c r="O161" s="137"/>
      <c r="P161" s="135"/>
      <c r="Q161" s="138"/>
      <c r="R161" s="199"/>
      <c r="S161" s="198"/>
    </row>
    <row r="162" customFormat="false" ht="58.95" hidden="false" customHeight="false" outlineLevel="0" collapsed="false">
      <c r="A162" s="115"/>
      <c r="B162" s="116" t="s">
        <v>54</v>
      </c>
      <c r="C162" s="148" t="s">
        <v>159</v>
      </c>
      <c r="D162" s="118"/>
      <c r="E162" s="119"/>
      <c r="F162" s="118"/>
      <c r="G162" s="120"/>
      <c r="H162" s="120"/>
      <c r="I162" s="120"/>
      <c r="J162" s="133"/>
      <c r="K162" s="143"/>
      <c r="L162" s="129"/>
      <c r="M162" s="135"/>
      <c r="N162" s="141"/>
      <c r="O162" s="137"/>
      <c r="P162" s="135"/>
      <c r="Q162" s="136"/>
      <c r="R162" s="197"/>
      <c r="S162" s="198"/>
    </row>
    <row r="163" customFormat="false" ht="13.8" hidden="false" customHeight="false" outlineLevel="0" collapsed="false">
      <c r="A163" s="33"/>
      <c r="B163" s="33"/>
      <c r="C163" s="205" t="s">
        <v>160</v>
      </c>
      <c r="D163" s="139"/>
      <c r="E163" s="130"/>
      <c r="F163" s="227"/>
      <c r="G163" s="129"/>
      <c r="H163" s="157"/>
      <c r="I163" s="133"/>
      <c r="J163" s="167"/>
      <c r="K163" s="228"/>
      <c r="L163" s="129"/>
      <c r="M163" s="135"/>
      <c r="N163" s="141"/>
      <c r="O163" s="137"/>
      <c r="P163" s="135"/>
      <c r="Q163" s="138"/>
      <c r="R163" s="199"/>
      <c r="S163" s="198"/>
    </row>
    <row r="164" customFormat="false" ht="17.9" hidden="false" customHeight="false" outlineLevel="0" collapsed="false">
      <c r="A164" s="128"/>
      <c r="B164" s="128"/>
      <c r="C164" s="36"/>
      <c r="D164" s="129" t="s">
        <v>112</v>
      </c>
      <c r="E164" s="130" t="str">
        <f aca="false">IF(D164="","",VLOOKUP(D164,matriz_codigo_prezos,2,FALSE()))</f>
        <v>Análise granulométrica por tamizado (solos UNE 103101 ou equivalente) (aridos UNE EN 933-1 ou equivalente)</v>
      </c>
      <c r="F164" s="131" t="n">
        <v>1000</v>
      </c>
      <c r="G164" s="129" t="s">
        <v>54</v>
      </c>
      <c r="H164" s="132" t="n">
        <v>2</v>
      </c>
      <c r="I164" s="133" t="n">
        <f aca="false">IF($A$162="",0,IF(($A$162/F164)&gt;1,ROUNDUP($A$162/F164,0), 1))</f>
        <v>0</v>
      </c>
      <c r="J164" s="133"/>
      <c r="K164" s="134" t="n">
        <f aca="false">$N$6</f>
        <v>0.3</v>
      </c>
      <c r="L164" s="129" t="n">
        <f aca="false">IF(O164=0,0,ROUNDUP(O164*K164,0))</f>
        <v>0</v>
      </c>
      <c r="M164" s="135" t="n">
        <f aca="false">P164</f>
        <v>44</v>
      </c>
      <c r="N164" s="136" t="n">
        <f aca="false">ROUND(L164*M164,2)</f>
        <v>0</v>
      </c>
      <c r="O164" s="137" t="n">
        <f aca="false">INT(+I164*H164)</f>
        <v>0</v>
      </c>
      <c r="P164" s="135" t="n">
        <f aca="false">IF(D164="","",VLOOKUP(D164,matriz_codigo_prezos,6,FALSE()))</f>
        <v>44</v>
      </c>
      <c r="Q164" s="138" t="n">
        <f aca="false">IF(O164="","",ROUND(O164*P164,2))</f>
        <v>0</v>
      </c>
      <c r="R164" s="199"/>
      <c r="S164" s="198"/>
    </row>
    <row r="165" customFormat="false" ht="13.8" hidden="false" customHeight="false" outlineLevel="0" collapsed="false">
      <c r="A165" s="128"/>
      <c r="B165" s="128"/>
      <c r="C165" s="36"/>
      <c r="D165" s="139" t="s">
        <v>128</v>
      </c>
      <c r="E165" s="130" t="str">
        <f aca="false">IF(D165="","",VLOOKUP(D165,matriz_codigo_prezos,2,FALSE()))</f>
        <v>Humidade natural UNE EN 1097-5 ou equivalente</v>
      </c>
      <c r="F165" s="131" t="n">
        <v>1000</v>
      </c>
      <c r="G165" s="129" t="s">
        <v>54</v>
      </c>
      <c r="H165" s="132" t="n">
        <v>2</v>
      </c>
      <c r="I165" s="133" t="n">
        <f aca="false">IF($A$162="",0,IF(($A$162/F165)&gt;1,ROUNDUP($A$162/F165,0), 1))</f>
        <v>0</v>
      </c>
      <c r="J165" s="133"/>
      <c r="K165" s="134" t="n">
        <f aca="false">$N$6</f>
        <v>0.3</v>
      </c>
      <c r="L165" s="129" t="n">
        <f aca="false">IF(O165=0,0,ROUNDUP(O165*K165,0))</f>
        <v>0</v>
      </c>
      <c r="M165" s="135" t="n">
        <f aca="false">P165</f>
        <v>16</v>
      </c>
      <c r="N165" s="136" t="n">
        <f aca="false">ROUND(L165*M165,2)</f>
        <v>0</v>
      </c>
      <c r="O165" s="137" t="n">
        <f aca="false">INT(+I165*H165)</f>
        <v>0</v>
      </c>
      <c r="P165" s="135" t="n">
        <f aca="false">IF(D165="","",VLOOKUP(D165,matriz_codigo_prezos,6,FALSE()))</f>
        <v>16</v>
      </c>
      <c r="Q165" s="138" t="n">
        <f aca="false">IF(O165="","",ROUND(O165*P165,2))</f>
        <v>0</v>
      </c>
      <c r="R165" s="199"/>
      <c r="S165" s="198"/>
    </row>
    <row r="166" customFormat="false" ht="13.8" hidden="false" customHeight="false" outlineLevel="0" collapsed="false">
      <c r="A166" s="128"/>
      <c r="B166" s="128"/>
      <c r="C166" s="205" t="s">
        <v>161</v>
      </c>
      <c r="D166" s="139"/>
      <c r="E166" s="130"/>
      <c r="F166" s="227"/>
      <c r="G166" s="129"/>
      <c r="H166" s="157"/>
      <c r="I166" s="133"/>
      <c r="J166" s="133"/>
      <c r="K166" s="134"/>
      <c r="L166" s="129"/>
      <c r="M166" s="135"/>
      <c r="N166" s="141"/>
      <c r="O166" s="137"/>
      <c r="P166" s="135"/>
      <c r="Q166" s="138"/>
      <c r="R166" s="199"/>
      <c r="S166" s="198"/>
    </row>
    <row r="167" customFormat="false" ht="13.8" hidden="false" customHeight="false" outlineLevel="0" collapsed="false">
      <c r="A167" s="128"/>
      <c r="B167" s="128"/>
      <c r="C167" s="36"/>
      <c r="D167" s="139" t="s">
        <v>133</v>
      </c>
      <c r="E167" s="130" t="str">
        <f aca="false">IF(D167="","",VLOOKUP(D167,matriz_codigo_prezos,2,FALSE()))</f>
        <v>Ensaio de compactación Proctor Modificado UNE 103501 ou equivalente</v>
      </c>
      <c r="F167" s="131" t="n">
        <v>5000</v>
      </c>
      <c r="G167" s="129" t="s">
        <v>54</v>
      </c>
      <c r="H167" s="132" t="n">
        <v>1</v>
      </c>
      <c r="I167" s="133" t="n">
        <f aca="false">IF($A$162="",0,IF(($A$162/F167)&gt;1,ROUNDUP($A$162/F167,0), 1))</f>
        <v>0</v>
      </c>
      <c r="J167" s="133"/>
      <c r="K167" s="134" t="n">
        <f aca="false">$N$6</f>
        <v>0.3</v>
      </c>
      <c r="L167" s="129" t="n">
        <f aca="false">IF(O167=0,0,ROUNDUP(O167*K167,0))</f>
        <v>0</v>
      </c>
      <c r="M167" s="135" t="n">
        <f aca="false">P167</f>
        <v>92</v>
      </c>
      <c r="N167" s="136" t="n">
        <f aca="false">ROUND(L167*M167,2)</f>
        <v>0</v>
      </c>
      <c r="O167" s="137" t="n">
        <f aca="false">INT(+I167*H167)</f>
        <v>0</v>
      </c>
      <c r="P167" s="135" t="n">
        <f aca="false">IF(D167="","",VLOOKUP(D167,matriz_codigo_prezos,6,FALSE()))</f>
        <v>92</v>
      </c>
      <c r="Q167" s="138" t="n">
        <f aca="false">IF(O167="","",ROUND(O167*P167,2))</f>
        <v>0</v>
      </c>
      <c r="R167" s="199"/>
      <c r="S167" s="198"/>
    </row>
    <row r="168" customFormat="false" ht="13.8" hidden="false" customHeight="false" outlineLevel="0" collapsed="false">
      <c r="A168" s="128"/>
      <c r="B168" s="128"/>
      <c r="C168" s="36"/>
      <c r="D168" s="139" t="s">
        <v>153</v>
      </c>
      <c r="E168" s="130" t="str">
        <f aca="false">IF(D168="","",VLOOKUP(D168,matriz_codigo_prezos,2,FALSE()))</f>
        <v>Equivalente de Area UNE EN 933-8 (Anexo A) ou equivalente</v>
      </c>
      <c r="F168" s="131" t="n">
        <v>5000</v>
      </c>
      <c r="G168" s="129" t="s">
        <v>54</v>
      </c>
      <c r="H168" s="132" t="n">
        <v>1</v>
      </c>
      <c r="I168" s="133" t="n">
        <f aca="false">IF($A$162="",0,IF(($A$162/F168)&gt;1,ROUNDUP($A$162/F168,0), 1))</f>
        <v>0</v>
      </c>
      <c r="J168" s="133"/>
      <c r="K168" s="134" t="n">
        <f aca="false">$N$6</f>
        <v>0.3</v>
      </c>
      <c r="L168" s="129" t="n">
        <f aca="false">IF(O168=0,0,ROUNDUP(O168*K168,0))</f>
        <v>0</v>
      </c>
      <c r="M168" s="135" t="n">
        <f aca="false">P168</f>
        <v>51</v>
      </c>
      <c r="N168" s="136" t="n">
        <f aca="false">ROUND(L168*M168,2)</f>
        <v>0</v>
      </c>
      <c r="O168" s="137" t="n">
        <f aca="false">INT(+I168*H168)</f>
        <v>0</v>
      </c>
      <c r="P168" s="135" t="n">
        <f aca="false">IF(D168="","",VLOOKUP(D168,matriz_codigo_prezos,6,FALSE()))</f>
        <v>51</v>
      </c>
      <c r="Q168" s="138" t="n">
        <f aca="false">IF(O168="","",ROUND(O168*P168,2))</f>
        <v>0</v>
      </c>
      <c r="R168" s="199"/>
      <c r="S168" s="198"/>
    </row>
    <row r="169" customFormat="false" ht="17.9" hidden="false" customHeight="false" outlineLevel="0" collapsed="false">
      <c r="A169" s="128"/>
      <c r="B169" s="128"/>
      <c r="C169" s="36"/>
      <c r="D169" s="139" t="s">
        <v>113</v>
      </c>
      <c r="E169" s="130" t="str">
        <f aca="false">IF(D169="","",VLOOKUP(D169,matriz_codigo_prezos,2,FALSE()))</f>
        <v>Límites de Atterberg. Límite líquido e limite plástico UNE 103103, 103104 ou equivalente</v>
      </c>
      <c r="F169" s="131" t="n">
        <v>5000</v>
      </c>
      <c r="G169" s="129" t="s">
        <v>54</v>
      </c>
      <c r="H169" s="132" t="n">
        <v>1</v>
      </c>
      <c r="I169" s="133" t="n">
        <f aca="false">IF($A$162="",0,IF(($A$162/F169)&gt;1,ROUNDUP($A$162/F169,0), 1))</f>
        <v>0</v>
      </c>
      <c r="J169" s="133"/>
      <c r="K169" s="134" t="n">
        <f aca="false">$N$6</f>
        <v>0.3</v>
      </c>
      <c r="L169" s="129" t="n">
        <f aca="false">IF(O169=0,0,ROUNDUP(O169*K169,0))</f>
        <v>0</v>
      </c>
      <c r="M169" s="135" t="n">
        <f aca="false">P169</f>
        <v>63</v>
      </c>
      <c r="N169" s="136" t="n">
        <f aca="false">ROUND(L169*M169,2)</f>
        <v>0</v>
      </c>
      <c r="O169" s="137" t="n">
        <f aca="false">INT(+I169*H169)</f>
        <v>0</v>
      </c>
      <c r="P169" s="135" t="n">
        <f aca="false">IF(D169="","",VLOOKUP(D169,matriz_codigo_prezos,6,FALSE()))</f>
        <v>63</v>
      </c>
      <c r="Q169" s="138" t="n">
        <f aca="false">IF(O169="","",ROUND(O169*P169,2))</f>
        <v>0</v>
      </c>
      <c r="R169" s="199"/>
      <c r="S169" s="198"/>
    </row>
    <row r="170" customFormat="false" ht="13.8" hidden="false" customHeight="false" outlineLevel="0" collapsed="false">
      <c r="A170" s="128"/>
      <c r="B170" s="128"/>
      <c r="C170" s="36"/>
      <c r="D170" s="139" t="s">
        <v>157</v>
      </c>
      <c r="E170" s="130" t="str">
        <f aca="false">IF(D170="","",VLOOKUP(D170,matriz_codigo_prezos,2,FALSE()))</f>
        <v>Contido de finos do árido groso UNE-EN-933-1 ou equivalente</v>
      </c>
      <c r="F170" s="131" t="n">
        <v>5000</v>
      </c>
      <c r="G170" s="129" t="s">
        <v>54</v>
      </c>
      <c r="H170" s="132" t="n">
        <v>1</v>
      </c>
      <c r="I170" s="133" t="n">
        <f aca="false">IF($A$162="",0,IF(($A$162/F170)&gt;1,ROUNDUP($A$162/F170,0), 1))</f>
        <v>0</v>
      </c>
      <c r="J170" s="133"/>
      <c r="K170" s="134" t="n">
        <f aca="false">$N$6</f>
        <v>0.3</v>
      </c>
      <c r="L170" s="129" t="n">
        <f aca="false">IF(O170=0,0,ROUNDUP(O170*K170,0))</f>
        <v>0</v>
      </c>
      <c r="M170" s="135" t="n">
        <f aca="false">P170</f>
        <v>40</v>
      </c>
      <c r="N170" s="136" t="n">
        <f aca="false">ROUND(L170*M170,2)</f>
        <v>0</v>
      </c>
      <c r="O170" s="137" t="n">
        <f aca="false">INT(+I170*H170)</f>
        <v>0</v>
      </c>
      <c r="P170" s="135" t="n">
        <f aca="false">IF(D170="","",VLOOKUP(D170,matriz_codigo_prezos,6,FALSE()))</f>
        <v>40</v>
      </c>
      <c r="Q170" s="138" t="n">
        <f aca="false">IF(O170="","",ROUND(O170*P170,2))</f>
        <v>0</v>
      </c>
      <c r="R170" s="199"/>
      <c r="S170" s="198"/>
    </row>
    <row r="171" customFormat="false" ht="13.8" hidden="false" customHeight="false" outlineLevel="0" collapsed="false">
      <c r="A171" s="128"/>
      <c r="B171" s="128"/>
      <c r="C171" s="205" t="s">
        <v>162</v>
      </c>
      <c r="D171" s="139"/>
      <c r="E171" s="130"/>
      <c r="F171" s="227"/>
      <c r="G171" s="129"/>
      <c r="H171" s="157"/>
      <c r="I171" s="133"/>
      <c r="J171" s="133"/>
      <c r="K171" s="134"/>
      <c r="L171" s="129"/>
      <c r="M171" s="135"/>
      <c r="N171" s="141"/>
      <c r="O171" s="137"/>
      <c r="P171" s="135"/>
      <c r="Q171" s="138"/>
      <c r="R171" s="199"/>
      <c r="S171" s="198"/>
    </row>
    <row r="172" customFormat="false" ht="13.8" hidden="false" customHeight="false" outlineLevel="0" collapsed="false">
      <c r="A172" s="128"/>
      <c r="B172" s="128"/>
      <c r="C172" s="36"/>
      <c r="D172" s="139" t="s">
        <v>154</v>
      </c>
      <c r="E172" s="130" t="str">
        <f aca="false">IF(D172="","",VLOOKUP(D172,matriz_codigo_prezos,2,FALSE()))</f>
        <v>Índice de laxas do árido groso UNE EN 933-3 ou equivalente</v>
      </c>
      <c r="F172" s="131" t="n">
        <v>20000</v>
      </c>
      <c r="G172" s="129" t="s">
        <v>54</v>
      </c>
      <c r="H172" s="132" t="n">
        <v>1</v>
      </c>
      <c r="I172" s="133" t="n">
        <f aca="false">IF($A$162="",0,IF(($A$162/F172)&gt;1,ROUNDUP($A$162/F172,0), 1))</f>
        <v>0</v>
      </c>
      <c r="J172" s="133"/>
      <c r="K172" s="134" t="n">
        <f aca="false">$N$6</f>
        <v>0.3</v>
      </c>
      <c r="L172" s="129" t="n">
        <f aca="false">IF(O172=0,0,ROUNDUP(O172*K172,0))</f>
        <v>0</v>
      </c>
      <c r="M172" s="135" t="n">
        <f aca="false">P172</f>
        <v>66</v>
      </c>
      <c r="N172" s="136" t="n">
        <f aca="false">ROUND(L172*M172,2)</f>
        <v>0</v>
      </c>
      <c r="O172" s="137" t="n">
        <f aca="false">INT(+I172*H172)</f>
        <v>0</v>
      </c>
      <c r="P172" s="135" t="n">
        <f aca="false">IF(D172="","",VLOOKUP(D172,matriz_codigo_prezos,6,FALSE()))</f>
        <v>66</v>
      </c>
      <c r="Q172" s="138" t="n">
        <f aca="false">IF(O172="","",ROUND(O172*P172,2))</f>
        <v>0</v>
      </c>
      <c r="R172" s="199"/>
      <c r="S172" s="198"/>
    </row>
    <row r="173" customFormat="false" ht="13.8" hidden="false" customHeight="false" outlineLevel="0" collapsed="false">
      <c r="A173" s="128"/>
      <c r="B173" s="128"/>
      <c r="C173" s="36"/>
      <c r="D173" s="139" t="s">
        <v>155</v>
      </c>
      <c r="E173" s="130" t="str">
        <f aca="false">IF(D173="","",VLOOKUP(D173,matriz_codigo_prezos,2,FALSE()))</f>
        <v>Porcentaxe de caras de fractura do árido groso UNE EN 933-5 ou equivalente</v>
      </c>
      <c r="F173" s="131" t="n">
        <v>20000</v>
      </c>
      <c r="G173" s="129" t="s">
        <v>54</v>
      </c>
      <c r="H173" s="132" t="n">
        <v>1</v>
      </c>
      <c r="I173" s="133" t="n">
        <f aca="false">IF($A$162="",0,IF(($A$162/F173)&gt;1,ROUNDUP($A$162/F173,0), 1))</f>
        <v>0</v>
      </c>
      <c r="J173" s="133"/>
      <c r="K173" s="134" t="n">
        <f aca="false">$N$6</f>
        <v>0.3</v>
      </c>
      <c r="L173" s="129" t="n">
        <f aca="false">IF(O173=0,0,ROUNDUP(O173*K173,0))</f>
        <v>0</v>
      </c>
      <c r="M173" s="135" t="n">
        <f aca="false">P173</f>
        <v>35</v>
      </c>
      <c r="N173" s="136" t="n">
        <f aca="false">ROUND(L173*M173,2)</f>
        <v>0</v>
      </c>
      <c r="O173" s="137" t="n">
        <f aca="false">INT(+I173*H173)</f>
        <v>0</v>
      </c>
      <c r="P173" s="135" t="n">
        <f aca="false">IF(D173="","",VLOOKUP(D173,matriz_codigo_prezos,6,FALSE()))</f>
        <v>35</v>
      </c>
      <c r="Q173" s="138" t="n">
        <f aca="false">IF(O173="","",ROUND(O173*P173,2))</f>
        <v>0</v>
      </c>
      <c r="R173" s="199"/>
      <c r="S173" s="198"/>
    </row>
    <row r="174" customFormat="false" ht="17.9" hidden="false" customHeight="false" outlineLevel="0" collapsed="false">
      <c r="A174" s="128"/>
      <c r="B174" s="128"/>
      <c r="C174" s="36"/>
      <c r="D174" s="139" t="s">
        <v>152</v>
      </c>
      <c r="E174" s="130" t="str">
        <f aca="false">IF(D174="","",VLOOKUP(D174,matriz_codigo_prezos,2,FALSE()))</f>
        <v>Resistencia á fragmentación Ensaio "Os Ánxeles" UNE EN 1097-2 ou equivalente</v>
      </c>
      <c r="F174" s="131" t="n">
        <v>20000</v>
      </c>
      <c r="G174" s="129" t="s">
        <v>54</v>
      </c>
      <c r="H174" s="132" t="n">
        <v>1</v>
      </c>
      <c r="I174" s="133" t="n">
        <f aca="false">IF($A$162="",0,IF(($A$162/F174)&gt;1,ROUNDUP($A$162/F174,0), 1))</f>
        <v>0</v>
      </c>
      <c r="J174" s="133"/>
      <c r="K174" s="134" t="n">
        <f aca="false">$N$6</f>
        <v>0.3</v>
      </c>
      <c r="L174" s="129" t="n">
        <f aca="false">IF(O174=0,0,ROUNDUP(O174*K174,0))</f>
        <v>0</v>
      </c>
      <c r="M174" s="135" t="n">
        <f aca="false">P174</f>
        <v>104</v>
      </c>
      <c r="N174" s="136" t="n">
        <f aca="false">ROUND(L174*M174,2)</f>
        <v>0</v>
      </c>
      <c r="O174" s="137" t="n">
        <f aca="false">INT(+I174*H174)</f>
        <v>0</v>
      </c>
      <c r="P174" s="135" t="n">
        <f aca="false">IF(D174="","",VLOOKUP(D174,matriz_codigo_prezos,6,FALSE()))</f>
        <v>104</v>
      </c>
      <c r="Q174" s="138" t="n">
        <f aca="false">IF(O174="","",ROUND(O174*P174,2))</f>
        <v>0</v>
      </c>
      <c r="R174" s="199"/>
      <c r="S174" s="198"/>
    </row>
    <row r="175" customFormat="false" ht="13.8" hidden="false" customHeight="false" outlineLevel="0" collapsed="false">
      <c r="A175" s="128"/>
      <c r="B175" s="128"/>
      <c r="C175" s="36"/>
      <c r="D175" s="139" t="s">
        <v>156</v>
      </c>
      <c r="E175" s="130" t="str">
        <f aca="false">IF(D175="","",VLOOKUP(D175,matriz_codigo_prezos,2,FALSE()))</f>
        <v>Contido ponderal en xofre total UNE EN 1744-1 ou equivalente</v>
      </c>
      <c r="F175" s="131" t="n">
        <v>20000</v>
      </c>
      <c r="G175" s="129" t="s">
        <v>54</v>
      </c>
      <c r="H175" s="132" t="n">
        <v>1</v>
      </c>
      <c r="I175" s="133" t="n">
        <f aca="false">IF($A$162="",0,IF(($A$162/F175)&gt;1,ROUNDUP($A$162/F175,0), 1))</f>
        <v>0</v>
      </c>
      <c r="J175" s="133"/>
      <c r="K175" s="134" t="n">
        <f aca="false">$N$6</f>
        <v>0.3</v>
      </c>
      <c r="L175" s="129" t="n">
        <f aca="false">IF(O175=0,0,ROUNDUP(O175*K175,0))</f>
        <v>0</v>
      </c>
      <c r="M175" s="135" t="n">
        <f aca="false">P175</f>
        <v>283</v>
      </c>
      <c r="N175" s="136" t="n">
        <f aca="false">ROUND(L175*M175,2)</f>
        <v>0</v>
      </c>
      <c r="O175" s="137" t="n">
        <f aca="false">INT(+I175*H175)</f>
        <v>0</v>
      </c>
      <c r="P175" s="135" t="n">
        <f aca="false">IF(D175="","",VLOOKUP(D175,matriz_codigo_prezos,6,FALSE()))</f>
        <v>283</v>
      </c>
      <c r="Q175" s="138" t="n">
        <f aca="false">IF(O175="","",ROUND(O175*P175,2))</f>
        <v>0</v>
      </c>
      <c r="R175" s="199"/>
      <c r="S175" s="198"/>
    </row>
    <row r="176" customFormat="false" ht="30.55" hidden="false" customHeight="false" outlineLevel="0" collapsed="false">
      <c r="A176" s="207" t="s">
        <v>163</v>
      </c>
      <c r="B176" s="106"/>
      <c r="C176" s="106"/>
      <c r="D176" s="207"/>
      <c r="E176" s="208" t="str">
        <f aca="false">IF(D176="","",VLOOKUP(D176,matriz_codigo_prezos,2,FALSE()))</f>
        <v/>
      </c>
      <c r="F176" s="207"/>
      <c r="G176" s="209"/>
      <c r="H176" s="209"/>
      <c r="I176" s="209"/>
      <c r="J176" s="133"/>
      <c r="K176" s="134"/>
      <c r="L176" s="129"/>
      <c r="M176" s="135"/>
      <c r="N176" s="136"/>
      <c r="O176" s="137"/>
      <c r="P176" s="135"/>
      <c r="Q176" s="138"/>
      <c r="R176" s="199"/>
      <c r="S176" s="198"/>
    </row>
    <row r="177" customFormat="false" ht="13.8" hidden="false" customHeight="false" outlineLevel="0" collapsed="false">
      <c r="A177" s="115"/>
      <c r="B177" s="116" t="s">
        <v>68</v>
      </c>
      <c r="C177" s="205" t="s">
        <v>127</v>
      </c>
      <c r="D177" s="139"/>
      <c r="E177" s="130"/>
      <c r="F177" s="131"/>
      <c r="G177" s="129"/>
      <c r="H177" s="132"/>
      <c r="I177" s="133"/>
      <c r="J177" s="167"/>
      <c r="K177" s="229"/>
      <c r="L177" s="129"/>
      <c r="M177" s="135"/>
      <c r="N177" s="136"/>
      <c r="O177" s="137"/>
      <c r="P177" s="135"/>
      <c r="Q177" s="136"/>
      <c r="R177" s="197"/>
      <c r="S177" s="198"/>
    </row>
    <row r="178" customFormat="false" ht="26.1" hidden="false" customHeight="false" outlineLevel="0" collapsed="false">
      <c r="A178" s="128"/>
      <c r="B178" s="128"/>
      <c r="C178" s="36"/>
      <c r="D178" s="139" t="s">
        <v>70</v>
      </c>
      <c r="E178" s="130" t="str">
        <f aca="false">IF(D178="","",VLOOKUP(D178,matriz_codigo_prezos,2,FALSE()))</f>
        <v>Determinación da densidade "in situ", incluíndo humidade por medio de isótopos radiactivos (mínimo  10 determinacións) UNE 103900 ou equivalente</v>
      </c>
      <c r="F178" s="131" t="n">
        <v>3500</v>
      </c>
      <c r="G178" s="129" t="s">
        <v>68</v>
      </c>
      <c r="H178" s="132" t="n">
        <v>7</v>
      </c>
      <c r="I178" s="133" t="n">
        <f aca="false">IF(  ISNUMBER(A$177), ROUNDUP(A$177/F178,0), 0  )</f>
        <v>0</v>
      </c>
      <c r="J178" s="146" t="s">
        <v>91</v>
      </c>
      <c r="K178" s="134" t="n">
        <f aca="false">$N$6</f>
        <v>0.3</v>
      </c>
      <c r="L178" s="129" t="n">
        <f aca="false">IF(  AND( ISNUMBER( A$177), A$177&lt;&gt;0 ),    MAX( 10, ROUNDUP( I178*H178*K178,0) ),0 )</f>
        <v>0</v>
      </c>
      <c r="M178" s="135" t="n">
        <f aca="false">P178</f>
        <v>28</v>
      </c>
      <c r="N178" s="136" t="n">
        <f aca="false">ROUND(L178*M178,2)</f>
        <v>0</v>
      </c>
      <c r="O178" s="137" t="n">
        <f aca="false">IF(  AND( ISNUMBER( A$177), A$177&lt;&gt;0 ), MAX( 10, ROUNDUP(H178*I178,0) ),0  )</f>
        <v>0</v>
      </c>
      <c r="P178" s="135" t="n">
        <f aca="false">IF(D178="","",VLOOKUP(D178,matriz_codigo_prezos,6,FALSE()))</f>
        <v>28</v>
      </c>
      <c r="Q178" s="138" t="n">
        <f aca="false">IF(O178="","",ROUND(O178*P178,2))</f>
        <v>0</v>
      </c>
      <c r="R178" s="203"/>
      <c r="S178" s="198"/>
    </row>
    <row r="179" customFormat="false" ht="17.9" hidden="false" customHeight="false" outlineLevel="0" collapsed="false">
      <c r="A179" s="128"/>
      <c r="B179" s="128"/>
      <c r="C179" s="36"/>
      <c r="D179" s="139" t="s">
        <v>72</v>
      </c>
      <c r="E179" s="130" t="str">
        <f aca="false">IF(D179="","",VLOOKUP(D179,matriz_codigo_prezos,2,FALSE()))</f>
        <v>Ensaio de Carga con Placa de 30cm UNE 103808 ou equivalente. Non inclúe preparación do dispositivo a reacción</v>
      </c>
      <c r="F179" s="131" t="n">
        <v>3500</v>
      </c>
      <c r="G179" s="129" t="s">
        <v>68</v>
      </c>
      <c r="H179" s="132" t="n">
        <v>1</v>
      </c>
      <c r="I179" s="133" t="n">
        <f aca="false">IF(  ISNUMBER(A$177), ROUNDUP(A$177/F179,0),0  )</f>
        <v>0</v>
      </c>
      <c r="J179" s="146" t="s">
        <v>91</v>
      </c>
      <c r="K179" s="134" t="n">
        <f aca="false">$N$6</f>
        <v>0.3</v>
      </c>
      <c r="L179" s="129" t="n">
        <f aca="false">ROUNDUP(I179*H179*K179,0)</f>
        <v>0</v>
      </c>
      <c r="M179" s="135" t="n">
        <f aca="false">P179</f>
        <v>181</v>
      </c>
      <c r="N179" s="136" t="n">
        <f aca="false">ROUND(L179*M179,2)</f>
        <v>0</v>
      </c>
      <c r="O179" s="137" t="n">
        <f aca="false">H179*I179</f>
        <v>0</v>
      </c>
      <c r="P179" s="135" t="n">
        <f aca="false">IF(D179="","",VLOOKUP(D179,matriz_codigo_prezos,6,FALSE()))</f>
        <v>181</v>
      </c>
      <c r="Q179" s="138" t="n">
        <f aca="false">IF(O179="","",ROUND(O179*P179,2))</f>
        <v>0</v>
      </c>
      <c r="R179" s="203"/>
      <c r="S179" s="198"/>
    </row>
    <row r="180" customFormat="false" ht="13.8" hidden="false" customHeight="false" outlineLevel="0" collapsed="false">
      <c r="A180" s="115"/>
      <c r="B180" s="116" t="s">
        <v>135</v>
      </c>
      <c r="C180" s="205" t="s">
        <v>164</v>
      </c>
      <c r="D180" s="139"/>
      <c r="E180" s="130"/>
      <c r="F180" s="131"/>
      <c r="G180" s="129"/>
      <c r="H180" s="132"/>
      <c r="I180" s="133"/>
      <c r="J180" s="167"/>
      <c r="K180" s="204"/>
      <c r="L180" s="129"/>
      <c r="M180" s="135"/>
      <c r="N180" s="136"/>
      <c r="O180" s="137"/>
      <c r="P180" s="135"/>
      <c r="Q180" s="136"/>
      <c r="R180" s="197"/>
      <c r="S180" s="198"/>
    </row>
    <row r="181" customFormat="false" ht="26.1" hidden="false" customHeight="false" outlineLevel="0" collapsed="false">
      <c r="A181" s="230"/>
      <c r="B181" s="230"/>
      <c r="C181" s="211"/>
      <c r="D181" s="139" t="s">
        <v>138</v>
      </c>
      <c r="E181" s="130" t="str">
        <f aca="false">IF(D181="","",VLOOKUP(D181,matriz_codigo_prezos,2,FALSE()))</f>
        <v>Unidade de movilización e desprazamento de perfilómetro láser, e informe de cálculo do índice de regularidade internacional IRI en pavimentos de estradas, NLT-330 ou equivalente</v>
      </c>
      <c r="F181" s="139"/>
      <c r="G181" s="129" t="s">
        <v>139</v>
      </c>
      <c r="H181" s="157" t="n">
        <v>1</v>
      </c>
      <c r="I181" s="133" t="n">
        <f aca="false">IF(   AND( ISNUMBER(A$180), A180&lt;&gt;0),1,0   )</f>
        <v>0</v>
      </c>
      <c r="J181" s="146" t="s">
        <v>91</v>
      </c>
      <c r="K181" s="134" t="n">
        <v>1</v>
      </c>
      <c r="L181" s="129" t="n">
        <f aca="false">ROUNDUP(I181*H181*K181,0)</f>
        <v>0</v>
      </c>
      <c r="M181" s="135" t="n">
        <f aca="false">P181</f>
        <v>2530</v>
      </c>
      <c r="N181" s="136" t="n">
        <f aca="false">ROUND(L181*M181,2)</f>
        <v>0</v>
      </c>
      <c r="O181" s="137" t="n">
        <v>0</v>
      </c>
      <c r="P181" s="135" t="n">
        <f aca="false">IF(D181="","",VLOOKUP(D181,matriz_codigo_prezos,6,FALSE()))</f>
        <v>2530</v>
      </c>
      <c r="Q181" s="138" t="n">
        <f aca="false">IF(O181="","",ROUND(O181*P181,2))</f>
        <v>0</v>
      </c>
      <c r="R181" s="199"/>
      <c r="S181" s="215"/>
      <c r="T181" s="210"/>
      <c r="V181" s="210"/>
      <c r="W181" s="210"/>
      <c r="X181" s="210"/>
      <c r="Y181" s="210"/>
      <c r="Z181" s="210"/>
      <c r="AA181" s="210"/>
      <c r="AB181" s="210"/>
      <c r="AC181" s="168"/>
      <c r="AD181" s="168"/>
      <c r="AE181" s="168"/>
      <c r="AF181" s="168"/>
      <c r="AG181" s="168"/>
      <c r="AH181" s="168"/>
      <c r="AI181" s="168"/>
      <c r="AJ181" s="168"/>
      <c r="AK181" s="168"/>
      <c r="AL181" s="168"/>
      <c r="AM181" s="168"/>
      <c r="AN181" s="168"/>
      <c r="AO181" s="168"/>
      <c r="AP181" s="168"/>
      <c r="AQ181" s="168"/>
      <c r="AR181" s="168"/>
      <c r="AS181" s="168"/>
      <c r="AT181" s="168"/>
      <c r="AU181" s="168"/>
      <c r="AV181" s="168"/>
      <c r="AW181" s="168"/>
      <c r="AX181" s="168"/>
      <c r="AY181" s="168"/>
      <c r="AZ181" s="168"/>
      <c r="BA181" s="168"/>
      <c r="BB181" s="168"/>
      <c r="BC181" s="168"/>
      <c r="BD181" s="168"/>
      <c r="BE181" s="168"/>
      <c r="BF181" s="168"/>
      <c r="BG181" s="168"/>
      <c r="BH181" s="168"/>
      <c r="BI181" s="168"/>
      <c r="BJ181" s="168"/>
      <c r="BK181" s="168"/>
      <c r="BL181" s="168"/>
    </row>
    <row r="182" customFormat="false" ht="13.8" hidden="false" customHeight="false" outlineLevel="0" collapsed="false">
      <c r="A182" s="230"/>
      <c r="B182" s="230"/>
      <c r="C182" s="36"/>
      <c r="D182" s="139" t="s">
        <v>141</v>
      </c>
      <c r="E182" s="130" t="str">
        <f aca="false">IF(D182="","",VLOOKUP(D182,matriz_codigo_prezos,2,FALSE()))</f>
        <v>Km. de medida con perfilómetro láser para cálculo de IRI</v>
      </c>
      <c r="F182" s="131" t="n">
        <v>1000</v>
      </c>
      <c r="G182" s="129" t="s">
        <v>135</v>
      </c>
      <c r="H182" s="157" t="n">
        <v>1</v>
      </c>
      <c r="I182" s="133" t="n">
        <f aca="false">IF($A$180="",0,IF(($A$180/F182)&gt;1,ROUNDUP($A$180/F182,0), 1))</f>
        <v>0</v>
      </c>
      <c r="J182" s="146" t="s">
        <v>91</v>
      </c>
      <c r="K182" s="134" t="n">
        <v>1</v>
      </c>
      <c r="L182" s="129" t="n">
        <f aca="false">ROUNDUP(I182*H182*K182,0)</f>
        <v>0</v>
      </c>
      <c r="M182" s="135" t="n">
        <f aca="false">P182</f>
        <v>17</v>
      </c>
      <c r="N182" s="136" t="n">
        <f aca="false">ROUND(L182*M182,2)</f>
        <v>0</v>
      </c>
      <c r="O182" s="137" t="n">
        <v>0</v>
      </c>
      <c r="P182" s="135" t="n">
        <f aca="false">IF(D182="","",VLOOKUP(D182,matriz_codigo_prezos,6,FALSE()))</f>
        <v>17</v>
      </c>
      <c r="Q182" s="138" t="n">
        <f aca="false">IF(O182="","",ROUND(O182*P182,2))</f>
        <v>0</v>
      </c>
      <c r="R182" s="199"/>
      <c r="S182" s="215"/>
      <c r="T182" s="210"/>
      <c r="V182" s="210"/>
      <c r="W182" s="210"/>
      <c r="X182" s="210"/>
      <c r="Y182" s="210"/>
      <c r="Z182" s="210"/>
      <c r="AA182" s="210"/>
      <c r="AB182" s="210"/>
    </row>
    <row r="183" customFormat="false" ht="13.8" hidden="false" customHeight="false" outlineLevel="0" collapsed="false">
      <c r="C183" s="73"/>
      <c r="D183" s="139"/>
      <c r="E183" s="130" t="str">
        <f aca="false">IF(D183="","",VLOOKUP(D183,matriz_codigo_prezos,2,FALSE()))</f>
        <v/>
      </c>
      <c r="F183" s="25"/>
      <c r="G183" s="121"/>
      <c r="H183" s="121"/>
      <c r="I183" s="133"/>
      <c r="J183" s="133"/>
      <c r="K183" s="159"/>
      <c r="L183" s="129"/>
      <c r="M183" s="135"/>
      <c r="N183" s="136"/>
      <c r="O183" s="137"/>
      <c r="P183" s="135"/>
      <c r="Q183" s="138"/>
      <c r="R183" s="199"/>
      <c r="S183" s="198"/>
    </row>
    <row r="184" s="36" customFormat="true" ht="12.8" hidden="false" customHeight="false" outlineLevel="0" collapsed="false">
      <c r="A184" s="101" t="s">
        <v>165</v>
      </c>
      <c r="B184" s="101"/>
      <c r="C184" s="101"/>
      <c r="D184" s="101"/>
      <c r="E184" s="102" t="str">
        <f aca="false">IF(D184="","",VLOOKUP(D184,matriz_codigo_prezos,2,FALSE()))</f>
        <v/>
      </c>
      <c r="F184" s="101"/>
      <c r="G184" s="103"/>
      <c r="H184" s="103"/>
      <c r="I184" s="103"/>
      <c r="J184" s="103"/>
      <c r="K184" s="103"/>
      <c r="L184" s="103"/>
      <c r="M184" s="103"/>
      <c r="N184" s="103"/>
      <c r="O184" s="103"/>
      <c r="P184" s="103"/>
      <c r="Q184" s="103"/>
      <c r="R184" s="191"/>
      <c r="S184" s="222"/>
      <c r="U184" s="152"/>
    </row>
    <row r="185" s="36" customFormat="true" ht="12.8" hidden="false" customHeight="false" outlineLevel="0" collapsed="false">
      <c r="A185" s="106" t="s">
        <v>166</v>
      </c>
      <c r="B185" s="106"/>
      <c r="C185" s="106"/>
      <c r="D185" s="106"/>
      <c r="E185" s="107"/>
      <c r="F185" s="106"/>
      <c r="G185" s="108"/>
      <c r="H185" s="108"/>
      <c r="I185" s="108"/>
      <c r="J185" s="133"/>
      <c r="K185" s="223"/>
      <c r="L185" s="135"/>
      <c r="M185" s="135"/>
      <c r="N185" s="136"/>
      <c r="O185" s="135"/>
      <c r="P185" s="135"/>
      <c r="Q185" s="138"/>
      <c r="R185" s="224"/>
      <c r="S185" s="222"/>
      <c r="U185" s="152"/>
    </row>
    <row r="186" customFormat="false" ht="75.35" hidden="false" customHeight="false" outlineLevel="0" collapsed="false">
      <c r="A186" s="115"/>
      <c r="B186" s="116" t="s">
        <v>167</v>
      </c>
      <c r="C186" s="148" t="s">
        <v>168</v>
      </c>
      <c r="D186" s="118"/>
      <c r="E186" s="119"/>
      <c r="F186" s="118"/>
      <c r="G186" s="120"/>
      <c r="H186" s="120"/>
      <c r="I186" s="120"/>
      <c r="J186" s="167"/>
      <c r="K186" s="143"/>
      <c r="L186" s="129"/>
      <c r="M186" s="135"/>
      <c r="N186" s="141"/>
      <c r="O186" s="137"/>
      <c r="P186" s="135"/>
      <c r="Q186" s="136"/>
      <c r="R186" s="197"/>
      <c r="S186" s="198"/>
    </row>
    <row r="187" customFormat="false" ht="17.9" hidden="false" customHeight="false" outlineLevel="0" collapsed="false">
      <c r="A187" s="128"/>
      <c r="B187" s="128"/>
      <c r="C187" s="36"/>
      <c r="D187" s="129" t="s">
        <v>112</v>
      </c>
      <c r="E187" s="130" t="str">
        <f aca="false">IF(D187="","",VLOOKUP(D187,matriz_codigo_prezos,2,FALSE()))</f>
        <v>Análise granulométrica por tamizado (solos UNE 103101 ou equivalente) (aridos UNE EN 933-1 ou equivalente)</v>
      </c>
      <c r="F187" s="131" t="n">
        <v>1</v>
      </c>
      <c r="G187" s="133" t="s">
        <v>169</v>
      </c>
      <c r="H187" s="132" t="n">
        <v>4</v>
      </c>
      <c r="I187" s="133" t="n">
        <f aca="false">IF(   AND( ISNUMBER(A$186), A$186&lt;&gt;0 ),    A$186, 0   )</f>
        <v>0</v>
      </c>
      <c r="J187" s="146" t="s">
        <v>170</v>
      </c>
      <c r="K187" s="134" t="n">
        <f aca="false">$N$6</f>
        <v>0.3</v>
      </c>
      <c r="L187" s="129" t="n">
        <f aca="false">IF(   AND( ISNUMBER(A$186), A$186&lt;&gt;0 ),   MAX( 4, ROUNDUP(H187*I187*K187,0) ), 0   )</f>
        <v>0</v>
      </c>
      <c r="M187" s="135" t="n">
        <f aca="false">P187</f>
        <v>44</v>
      </c>
      <c r="N187" s="136" t="n">
        <f aca="false">ROUND(L187*M187,2)</f>
        <v>0</v>
      </c>
      <c r="O187" s="137" t="n">
        <f aca="false">INT(I187*H187)</f>
        <v>0</v>
      </c>
      <c r="P187" s="135" t="n">
        <f aca="false">IF(D187="","",VLOOKUP(D187,matriz_codigo_prezos,6,FALSE()))</f>
        <v>44</v>
      </c>
      <c r="Q187" s="138" t="n">
        <f aca="false">IF(O187="","",ROUND(O187*P187,2))</f>
        <v>0</v>
      </c>
      <c r="R187" s="199"/>
      <c r="S187" s="198"/>
    </row>
    <row r="188" customFormat="false" ht="17.9" hidden="false" customHeight="false" outlineLevel="0" collapsed="false">
      <c r="A188" s="128"/>
      <c r="B188" s="128"/>
      <c r="C188" s="36"/>
      <c r="D188" s="139" t="s">
        <v>113</v>
      </c>
      <c r="E188" s="130" t="str">
        <f aca="false">IF(D188="","",VLOOKUP(D188,matriz_codigo_prezos,2,FALSE()))</f>
        <v>Límites de Atterberg. Límite líquido e limite plástico UNE 103103, 103104 ou equivalente</v>
      </c>
      <c r="F188" s="131" t="n">
        <v>1</v>
      </c>
      <c r="G188" s="133" t="s">
        <v>169</v>
      </c>
      <c r="H188" s="132" t="n">
        <v>4</v>
      </c>
      <c r="I188" s="133" t="n">
        <f aca="false">IF(   AND( ISNUMBER(A$186), A$186&lt;&gt;0 ),    A$186, 0   )</f>
        <v>0</v>
      </c>
      <c r="J188" s="146" t="s">
        <v>170</v>
      </c>
      <c r="K188" s="134" t="n">
        <f aca="false">$N$6</f>
        <v>0.3</v>
      </c>
      <c r="L188" s="129" t="n">
        <f aca="false">IF(   AND( ISNUMBER(A$186), A$186&lt;&gt;0 ),   MAX( 4, ROUNDUP(H188*I188*K188,0) ), 0   )</f>
        <v>0</v>
      </c>
      <c r="M188" s="135" t="n">
        <f aca="false">P188</f>
        <v>63</v>
      </c>
      <c r="N188" s="136" t="n">
        <f aca="false">ROUND(L188*M188,2)</f>
        <v>0</v>
      </c>
      <c r="O188" s="137" t="n">
        <f aca="false">INT(I188*H188)</f>
        <v>0</v>
      </c>
      <c r="P188" s="135" t="n">
        <f aca="false">IF(D188="","",VLOOKUP(D188,matriz_codigo_prezos,6,FALSE()))</f>
        <v>63</v>
      </c>
      <c r="Q188" s="138" t="n">
        <f aca="false">IF(O188="","",ROUND(O188*P188,2))</f>
        <v>0</v>
      </c>
      <c r="R188" s="199"/>
      <c r="S188" s="198"/>
    </row>
    <row r="189" customFormat="false" ht="17.9" hidden="false" customHeight="false" outlineLevel="0" collapsed="false">
      <c r="A189" s="128"/>
      <c r="B189" s="128"/>
      <c r="C189" s="36"/>
      <c r="D189" s="139" t="s">
        <v>114</v>
      </c>
      <c r="E189" s="130" t="str">
        <f aca="false">IF(D189="","",VLOOKUP(D189,matriz_codigo_prezos,2,FALSE()))</f>
        <v>Determinación do contido de materia orgánica oxidable polo método do permanganato potásico UNE EN 103204 ou equivalente</v>
      </c>
      <c r="F189" s="131" t="n">
        <v>1</v>
      </c>
      <c r="G189" s="133" t="s">
        <v>169</v>
      </c>
      <c r="H189" s="132" t="n">
        <v>4</v>
      </c>
      <c r="I189" s="133" t="n">
        <f aca="false">IF(   AND( ISNUMBER(A$186), A$186&lt;&gt;0 ),    A$186, 0   )</f>
        <v>0</v>
      </c>
      <c r="J189" s="146" t="s">
        <v>170</v>
      </c>
      <c r="K189" s="134" t="n">
        <f aca="false">$N$6</f>
        <v>0.3</v>
      </c>
      <c r="L189" s="129" t="n">
        <f aca="false">IF(   AND( ISNUMBER(A$186), A$186&lt;&gt;0 ),   MAX( 4, ROUNDUP(H189*I189*K189,0) ), 0   )</f>
        <v>0</v>
      </c>
      <c r="M189" s="135" t="n">
        <f aca="false">P189</f>
        <v>35</v>
      </c>
      <c r="N189" s="136" t="n">
        <f aca="false">ROUND(L189*M189,2)</f>
        <v>0</v>
      </c>
      <c r="O189" s="137" t="n">
        <f aca="false">INT(I189*H189)</f>
        <v>0</v>
      </c>
      <c r="P189" s="135" t="n">
        <f aca="false">IF(D189="","",VLOOKUP(D189,matriz_codigo_prezos,6,FALSE()))</f>
        <v>35</v>
      </c>
      <c r="Q189" s="138" t="n">
        <f aca="false">IF(O189="","",ROUND(O189*P189,2))</f>
        <v>0</v>
      </c>
      <c r="R189" s="199"/>
      <c r="S189" s="198"/>
    </row>
    <row r="190" customFormat="false" ht="17.9" hidden="false" customHeight="false" outlineLevel="0" collapsed="false">
      <c r="A190" s="128"/>
      <c r="B190" s="128"/>
      <c r="C190" s="36"/>
      <c r="D190" s="129" t="s">
        <v>171</v>
      </c>
      <c r="E190" s="130" t="str">
        <f aca="false">IF(D190="","",VLOOKUP(D190,matriz_codigo_prezos,2,FALSE()))</f>
        <v>Contido ponderal en xofre total (S) e en sulfatos solubles (SO3) UNE EN 1744-1 ou equivalente</v>
      </c>
      <c r="F190" s="131" t="n">
        <v>1</v>
      </c>
      <c r="G190" s="133" t="s">
        <v>169</v>
      </c>
      <c r="H190" s="132" t="n">
        <v>4</v>
      </c>
      <c r="I190" s="133" t="n">
        <f aca="false">IF(   AND( ISNUMBER(A$186), A$186&lt;&gt;0 ),    A$186, 0   )</f>
        <v>0</v>
      </c>
      <c r="J190" s="146" t="s">
        <v>170</v>
      </c>
      <c r="K190" s="134" t="n">
        <f aca="false">$N$6</f>
        <v>0.3</v>
      </c>
      <c r="L190" s="129" t="n">
        <f aca="false">IF(   AND( ISNUMBER(A$186), A$186&lt;&gt;0 ),   MAX( 4, ROUNDUP(H190*I190*K190,0) ), 0   )</f>
        <v>0</v>
      </c>
      <c r="M190" s="135" t="n">
        <f aca="false">P190</f>
        <v>353</v>
      </c>
      <c r="N190" s="136" t="n">
        <f aca="false">ROUND(L190*M190,2)</f>
        <v>0</v>
      </c>
      <c r="O190" s="137" t="n">
        <f aca="false">INT(I190*H190)</f>
        <v>0</v>
      </c>
      <c r="P190" s="135" t="n">
        <f aca="false">IF(D190="","",VLOOKUP(D190,matriz_codigo_prezos,6,FALSE()))</f>
        <v>353</v>
      </c>
      <c r="Q190" s="138" t="n">
        <f aca="false">IF(O190="","",ROUND(O190*P190,2))</f>
        <v>0</v>
      </c>
      <c r="R190" s="199"/>
      <c r="S190" s="198"/>
    </row>
    <row r="191" customFormat="false" ht="13.8" hidden="false" customHeight="false" outlineLevel="0" collapsed="false">
      <c r="A191" s="106" t="s">
        <v>172</v>
      </c>
      <c r="B191" s="106"/>
      <c r="C191" s="106"/>
      <c r="D191" s="106"/>
      <c r="E191" s="107"/>
      <c r="F191" s="106"/>
      <c r="G191" s="108"/>
      <c r="H191" s="108"/>
      <c r="I191" s="108"/>
      <c r="J191" s="133"/>
      <c r="K191" s="161"/>
      <c r="L191" s="162"/>
      <c r="M191" s="135"/>
      <c r="N191" s="163"/>
      <c r="O191" s="164"/>
      <c r="P191" s="135"/>
      <c r="Q191" s="138"/>
      <c r="R191" s="199"/>
      <c r="S191" s="198"/>
    </row>
    <row r="192" customFormat="false" ht="34.3" hidden="false" customHeight="false" outlineLevel="0" collapsed="false">
      <c r="A192" s="115"/>
      <c r="B192" s="116" t="s">
        <v>119</v>
      </c>
      <c r="C192" s="148" t="s">
        <v>120</v>
      </c>
      <c r="D192" s="118"/>
      <c r="E192" s="119"/>
      <c r="F192" s="118"/>
      <c r="G192" s="120"/>
      <c r="H192" s="120"/>
      <c r="I192" s="120"/>
      <c r="J192" s="167"/>
      <c r="K192" s="143"/>
      <c r="L192" s="129"/>
      <c r="M192" s="135"/>
      <c r="N192" s="136"/>
      <c r="O192" s="137"/>
      <c r="P192" s="135"/>
      <c r="Q192" s="136"/>
      <c r="R192" s="197"/>
      <c r="S192" s="198"/>
    </row>
    <row r="193" customFormat="false" ht="13.8" hidden="false" customHeight="false" outlineLevel="0" collapsed="false">
      <c r="A193" s="128"/>
      <c r="B193" s="128"/>
      <c r="C193" s="36"/>
      <c r="D193" s="139" t="s">
        <v>121</v>
      </c>
      <c r="E193" s="130" t="str">
        <f aca="false">IF(D193="","",VLOOKUP(D193,matriz_codigo_prezos,2,FALSE()))</f>
        <v>Prazo de traballabilidade UNE 41240 ou equivalente</v>
      </c>
      <c r="F193" s="131" t="n">
        <v>1</v>
      </c>
      <c r="G193" s="129" t="s">
        <v>119</v>
      </c>
      <c r="H193" s="132" t="n">
        <v>3</v>
      </c>
      <c r="I193" s="133" t="n">
        <f aca="false">IF(   ISNUMBER(A$192), ROUNDUP(A$192/F193,0),0   )</f>
        <v>0</v>
      </c>
      <c r="J193" s="146" t="s">
        <v>71</v>
      </c>
      <c r="K193" s="134" t="n">
        <f aca="false">$N$6</f>
        <v>0.3</v>
      </c>
      <c r="L193" s="129" t="n">
        <f aca="false">ROUNDUP(I193*H193*K193,0)</f>
        <v>0</v>
      </c>
      <c r="M193" s="135" t="n">
        <f aca="false">P193</f>
        <v>180</v>
      </c>
      <c r="N193" s="136" t="n">
        <f aca="false">ROUND(L193*M193,2)</f>
        <v>0</v>
      </c>
      <c r="O193" s="137" t="n">
        <f aca="false">INT(I193*H193)</f>
        <v>0</v>
      </c>
      <c r="P193" s="135" t="n">
        <f aca="false">IF(D193="","",VLOOKUP(D193,matriz_codigo_prezos,6,FALSE()))</f>
        <v>180</v>
      </c>
      <c r="Q193" s="138" t="n">
        <f aca="false">IF(O193="","",ROUND(O193*P193,2))</f>
        <v>0</v>
      </c>
      <c r="R193" s="199"/>
      <c r="S193" s="198"/>
    </row>
    <row r="194" customFormat="false" ht="17.9" hidden="false" customHeight="false" outlineLevel="0" collapsed="false">
      <c r="A194" s="128"/>
      <c r="B194" s="128"/>
      <c r="C194" s="36"/>
      <c r="D194" s="139" t="s">
        <v>124</v>
      </c>
      <c r="E194" s="130" t="str">
        <f aca="false">IF(D194="","",VLOOKUP(D194,matriz_codigo_prezos,2,FALSE()))</f>
        <v>Resistencia a compresión simple a 7 días (fabricación de 3 probetas) UNE EN 13286-41 ou equivalente, UNE-EN 13286-51 ou equivalente</v>
      </c>
      <c r="F194" s="131" t="n">
        <v>1</v>
      </c>
      <c r="G194" s="129" t="s">
        <v>119</v>
      </c>
      <c r="H194" s="132" t="n">
        <v>3</v>
      </c>
      <c r="I194" s="133" t="n">
        <f aca="false">IF(   ISNUMBER(A$192), ROUNDUP(A$192/F194,0),0   )</f>
        <v>0</v>
      </c>
      <c r="J194" s="146" t="s">
        <v>71</v>
      </c>
      <c r="K194" s="134" t="n">
        <f aca="false">$N$6</f>
        <v>0.3</v>
      </c>
      <c r="L194" s="129" t="n">
        <f aca="false">ROUNDUP(I194*H194*K194,0)</f>
        <v>0</v>
      </c>
      <c r="M194" s="135" t="n">
        <f aca="false">P194</f>
        <v>125</v>
      </c>
      <c r="N194" s="136" t="n">
        <f aca="false">ROUND(L194*M194,2)</f>
        <v>0</v>
      </c>
      <c r="O194" s="137" t="n">
        <f aca="false">INT(I194*H194)</f>
        <v>0</v>
      </c>
      <c r="P194" s="135" t="n">
        <f aca="false">IF(D194="","",VLOOKUP(D194,matriz_codigo_prezos,6,FALSE()))</f>
        <v>125</v>
      </c>
      <c r="Q194" s="138" t="n">
        <f aca="false">IF(O194="","",ROUND(O194*P194,2))</f>
        <v>0</v>
      </c>
      <c r="R194" s="224"/>
      <c r="S194" s="198"/>
    </row>
    <row r="195" customFormat="false" ht="13.8" hidden="false" customHeight="false" outlineLevel="0" collapsed="false">
      <c r="A195" s="106" t="s">
        <v>173</v>
      </c>
      <c r="B195" s="106"/>
      <c r="C195" s="106"/>
      <c r="D195" s="106"/>
      <c r="E195" s="107"/>
      <c r="F195" s="106"/>
      <c r="G195" s="108"/>
      <c r="H195" s="108"/>
      <c r="I195" s="108"/>
      <c r="J195" s="133"/>
      <c r="K195" s="134"/>
      <c r="L195" s="129"/>
      <c r="M195" s="135"/>
      <c r="N195" s="136"/>
      <c r="O195" s="137"/>
      <c r="P195" s="135"/>
      <c r="Q195" s="138"/>
      <c r="R195" s="224"/>
      <c r="S195" s="198"/>
    </row>
    <row r="196" customFormat="false" ht="58.95" hidden="false" customHeight="false" outlineLevel="0" collapsed="false">
      <c r="A196" s="115"/>
      <c r="B196" s="116" t="s">
        <v>54</v>
      </c>
      <c r="C196" s="148" t="s">
        <v>159</v>
      </c>
      <c r="D196" s="118"/>
      <c r="E196" s="119"/>
      <c r="F196" s="118"/>
      <c r="G196" s="120"/>
      <c r="H196" s="120"/>
      <c r="I196" s="120"/>
      <c r="J196" s="133"/>
      <c r="K196" s="143"/>
      <c r="L196" s="129"/>
      <c r="M196" s="135"/>
      <c r="N196" s="141"/>
      <c r="O196" s="137"/>
      <c r="P196" s="135"/>
      <c r="Q196" s="136"/>
      <c r="R196" s="197"/>
      <c r="S196" s="198"/>
    </row>
    <row r="197" customFormat="false" ht="13.8" hidden="false" customHeight="false" outlineLevel="0" collapsed="false">
      <c r="A197" s="33"/>
      <c r="B197" s="33"/>
      <c r="C197" s="205" t="s">
        <v>160</v>
      </c>
      <c r="D197" s="139"/>
      <c r="E197" s="130"/>
      <c r="F197" s="227"/>
      <c r="G197" s="129"/>
      <c r="H197" s="157"/>
      <c r="I197" s="133"/>
      <c r="J197" s="167"/>
      <c r="K197" s="228"/>
      <c r="L197" s="129"/>
      <c r="M197" s="135"/>
      <c r="N197" s="141"/>
      <c r="O197" s="137"/>
      <c r="P197" s="135"/>
      <c r="Q197" s="138"/>
      <c r="R197" s="199"/>
      <c r="S197" s="198"/>
    </row>
    <row r="198" customFormat="false" ht="13.8" hidden="false" customHeight="false" outlineLevel="0" collapsed="false">
      <c r="A198" s="128"/>
      <c r="B198" s="128"/>
      <c r="C198" s="36"/>
      <c r="D198" s="139" t="s">
        <v>128</v>
      </c>
      <c r="E198" s="130" t="str">
        <f aca="false">IF(D198="","",VLOOKUP(D198,matriz_codigo_prezos,2,FALSE()))</f>
        <v>Humidade natural UNE EN 1097-5 ou equivalente</v>
      </c>
      <c r="F198" s="131" t="n">
        <v>1000</v>
      </c>
      <c r="G198" s="129" t="s">
        <v>54</v>
      </c>
      <c r="H198" s="132" t="n">
        <v>2</v>
      </c>
      <c r="I198" s="133" t="n">
        <f aca="false">IF(   ISNUMBER(A$196), ROUNDUP(A$196/F198,0),0   )</f>
        <v>0</v>
      </c>
      <c r="J198" s="146" t="s">
        <v>71</v>
      </c>
      <c r="K198" s="134" t="n">
        <f aca="false">$N$6</f>
        <v>0.3</v>
      </c>
      <c r="L198" s="129" t="n">
        <f aca="false">ROUNDUP(I198*H198*K198,0)</f>
        <v>0</v>
      </c>
      <c r="M198" s="135" t="n">
        <f aca="false">P198</f>
        <v>16</v>
      </c>
      <c r="N198" s="136" t="n">
        <f aca="false">ROUND(L198*M198,2)</f>
        <v>0</v>
      </c>
      <c r="O198" s="137" t="n">
        <f aca="false">INT(+I198*H198)</f>
        <v>0</v>
      </c>
      <c r="P198" s="135" t="n">
        <f aca="false">IF(D198="","",VLOOKUP(D198,matriz_codigo_prezos,6,FALSE()))</f>
        <v>16</v>
      </c>
      <c r="Q198" s="138" t="n">
        <f aca="false">IF(O198="","",ROUND(O198*P198,2))</f>
        <v>0</v>
      </c>
      <c r="R198" s="231" t="s">
        <v>174</v>
      </c>
      <c r="S198" s="198"/>
    </row>
    <row r="199" customFormat="false" ht="17.9" hidden="false" customHeight="false" outlineLevel="0" collapsed="false">
      <c r="A199" s="128"/>
      <c r="B199" s="128"/>
      <c r="C199" s="36"/>
      <c r="D199" s="139" t="s">
        <v>113</v>
      </c>
      <c r="E199" s="130" t="str">
        <f aca="false">IF(D199="","",VLOOKUP(D199,matriz_codigo_prezos,2,FALSE()))</f>
        <v>Límites de Atterberg. Límite líquido e limite plástico UNE 103103, 103104 ou equivalente</v>
      </c>
      <c r="F199" s="131" t="n">
        <v>1000</v>
      </c>
      <c r="G199" s="129" t="s">
        <v>54</v>
      </c>
      <c r="H199" s="132" t="n">
        <v>2</v>
      </c>
      <c r="I199" s="133" t="n">
        <f aca="false">IF(   ISNUMBER(A$196), ROUNDUP(A$196/F199,0),0   )</f>
        <v>0</v>
      </c>
      <c r="J199" s="146" t="s">
        <v>71</v>
      </c>
      <c r="K199" s="134" t="n">
        <f aca="false">$N$6</f>
        <v>0.3</v>
      </c>
      <c r="L199" s="129" t="n">
        <f aca="false">ROUNDUP(I199*H199*K199,0)</f>
        <v>0</v>
      </c>
      <c r="M199" s="135" t="n">
        <f aca="false">P199</f>
        <v>63</v>
      </c>
      <c r="N199" s="136" t="n">
        <f aca="false">ROUND(L199*M199,2)</f>
        <v>0</v>
      </c>
      <c r="O199" s="137" t="n">
        <f aca="false">INT(+I199*H199)</f>
        <v>0</v>
      </c>
      <c r="P199" s="135" t="n">
        <f aca="false">IF(D199="","",VLOOKUP(D199,matriz_codigo_prezos,6,FALSE()))</f>
        <v>63</v>
      </c>
      <c r="Q199" s="138" t="n">
        <f aca="false">IF(O199="","",ROUND(O199*P199,2))</f>
        <v>0</v>
      </c>
      <c r="R199" s="231"/>
      <c r="S199" s="198"/>
    </row>
    <row r="200" customFormat="false" ht="13.8" hidden="false" customHeight="false" outlineLevel="0" collapsed="false">
      <c r="A200" s="33"/>
      <c r="B200" s="33"/>
      <c r="C200" s="205" t="s">
        <v>161</v>
      </c>
      <c r="D200" s="139"/>
      <c r="E200" s="130"/>
      <c r="F200" s="227"/>
      <c r="G200" s="129"/>
      <c r="H200" s="157"/>
      <c r="I200" s="133"/>
      <c r="J200" s="133"/>
      <c r="K200" s="134"/>
      <c r="L200" s="129"/>
      <c r="M200" s="135"/>
      <c r="N200" s="136"/>
      <c r="O200" s="137"/>
      <c r="P200" s="135"/>
      <c r="Q200" s="138"/>
      <c r="R200" s="199"/>
      <c r="S200" s="198"/>
    </row>
    <row r="201" customFormat="false" ht="17.9" hidden="false" customHeight="false" outlineLevel="0" collapsed="false">
      <c r="A201" s="128"/>
      <c r="B201" s="128"/>
      <c r="C201" s="36"/>
      <c r="D201" s="139" t="s">
        <v>114</v>
      </c>
      <c r="E201" s="130" t="str">
        <f aca="false">IF(D201="","",VLOOKUP(D201,matriz_codigo_prezos,2,FALSE()))</f>
        <v>Determinación do contido de materia orgánica oxidable polo método do permanganato potásico UNE EN 103204 ou equivalente</v>
      </c>
      <c r="F201" s="131" t="n">
        <v>5000</v>
      </c>
      <c r="G201" s="129" t="s">
        <v>54</v>
      </c>
      <c r="H201" s="132" t="n">
        <v>1</v>
      </c>
      <c r="I201" s="133" t="n">
        <f aca="false">IF(   ISNUMBER(A$196), ROUNDUP(A$196/F201,0),0   )</f>
        <v>0</v>
      </c>
      <c r="J201" s="146" t="s">
        <v>71</v>
      </c>
      <c r="K201" s="134" t="n">
        <f aca="false">$N$6</f>
        <v>0.3</v>
      </c>
      <c r="L201" s="129" t="n">
        <f aca="false">ROUNDUP(I201*H201*K201,0)</f>
        <v>0</v>
      </c>
      <c r="M201" s="135" t="n">
        <f aca="false">P201</f>
        <v>35</v>
      </c>
      <c r="N201" s="136" t="n">
        <f aca="false">ROUND(L201*M201,2)</f>
        <v>0</v>
      </c>
      <c r="O201" s="137" t="n">
        <f aca="false">INT(+I201*H201)</f>
        <v>0</v>
      </c>
      <c r="P201" s="135" t="n">
        <f aca="false">IF(D201="","",VLOOKUP(D201,matriz_codigo_prezos,6,FALSE()))</f>
        <v>35</v>
      </c>
      <c r="Q201" s="138" t="n">
        <f aca="false">IF(O201="","",ROUND(O201*P201,2))</f>
        <v>0</v>
      </c>
      <c r="R201" s="231" t="s">
        <v>174</v>
      </c>
      <c r="S201" s="198"/>
    </row>
    <row r="202" customFormat="false" ht="13.8" hidden="false" customHeight="false" outlineLevel="0" collapsed="false">
      <c r="A202" s="128"/>
      <c r="B202" s="128"/>
      <c r="C202" s="36"/>
      <c r="D202" s="139" t="s">
        <v>133</v>
      </c>
      <c r="E202" s="130" t="str">
        <f aca="false">IF(D202="","",VLOOKUP(D202,matriz_codigo_prezos,2,FALSE()))</f>
        <v>Ensaio de compactación Proctor Modificado UNE 103501 ou equivalente</v>
      </c>
      <c r="F202" s="131" t="n">
        <v>5000</v>
      </c>
      <c r="G202" s="129" t="s">
        <v>54</v>
      </c>
      <c r="H202" s="132" t="n">
        <v>1</v>
      </c>
      <c r="I202" s="133" t="n">
        <f aca="false">IF(   ISNUMBER(A$196), ROUNDUP(A$196/F202,0),0   )</f>
        <v>0</v>
      </c>
      <c r="J202" s="146" t="s">
        <v>71</v>
      </c>
      <c r="K202" s="134" t="n">
        <f aca="false">$N$6</f>
        <v>0.3</v>
      </c>
      <c r="L202" s="129" t="n">
        <f aca="false">ROUNDUP(I202*H202*K202,0)</f>
        <v>0</v>
      </c>
      <c r="M202" s="135" t="n">
        <f aca="false">P202</f>
        <v>92</v>
      </c>
      <c r="N202" s="136" t="n">
        <f aca="false">ROUND(L202*M202,2)</f>
        <v>0</v>
      </c>
      <c r="O202" s="137" t="n">
        <f aca="false">INT(+I202*H202)</f>
        <v>0</v>
      </c>
      <c r="P202" s="135" t="n">
        <f aca="false">IF(D202="","",VLOOKUP(D202,matriz_codigo_prezos,6,FALSE()))</f>
        <v>92</v>
      </c>
      <c r="Q202" s="138" t="n">
        <f aca="false">IF(O202="","",ROUND(O202*P202,2))</f>
        <v>0</v>
      </c>
      <c r="R202" s="231"/>
      <c r="S202" s="198"/>
    </row>
    <row r="203" customFormat="false" ht="13.8" hidden="false" customHeight="false" outlineLevel="0" collapsed="false">
      <c r="A203" s="33"/>
      <c r="B203" s="33"/>
      <c r="C203" s="205" t="s">
        <v>162</v>
      </c>
      <c r="D203" s="139"/>
      <c r="E203" s="130"/>
      <c r="F203" s="227"/>
      <c r="G203" s="129"/>
      <c r="H203" s="157"/>
      <c r="I203" s="133"/>
      <c r="J203" s="133"/>
      <c r="K203" s="134"/>
      <c r="L203" s="129"/>
      <c r="M203" s="135"/>
      <c r="N203" s="136"/>
      <c r="O203" s="137"/>
      <c r="P203" s="135"/>
      <c r="Q203" s="138"/>
      <c r="R203" s="199"/>
      <c r="S203" s="198"/>
    </row>
    <row r="204" customFormat="false" ht="17.9" hidden="false" customHeight="false" outlineLevel="0" collapsed="false">
      <c r="A204" s="128"/>
      <c r="B204" s="128"/>
      <c r="C204" s="36"/>
      <c r="D204" s="139" t="s">
        <v>171</v>
      </c>
      <c r="E204" s="130" t="str">
        <f aca="false">IF(D204="","",VLOOKUP(D204,matriz_codigo_prezos,2,FALSE()))</f>
        <v>Contido ponderal en xofre total (S) e en sulfatos solubles (SO3) UNE EN 1744-1 ou equivalente</v>
      </c>
      <c r="F204" s="131" t="n">
        <v>20000</v>
      </c>
      <c r="G204" s="129" t="s">
        <v>54</v>
      </c>
      <c r="H204" s="132" t="n">
        <v>1</v>
      </c>
      <c r="I204" s="133" t="n">
        <f aca="false">IF(   ISNUMBER(A$196), ROUNDUP(A$196/F204,0),0   )</f>
        <v>0</v>
      </c>
      <c r="J204" s="146" t="s">
        <v>71</v>
      </c>
      <c r="K204" s="134" t="n">
        <f aca="false">$N$6</f>
        <v>0.3</v>
      </c>
      <c r="L204" s="129" t="n">
        <f aca="false">ROUNDUP(I204*H204*K204,0)</f>
        <v>0</v>
      </c>
      <c r="M204" s="135" t="n">
        <f aca="false">P204</f>
        <v>353</v>
      </c>
      <c r="N204" s="136" t="n">
        <f aca="false">ROUND(L204*M204,2)</f>
        <v>0</v>
      </c>
      <c r="O204" s="137" t="n">
        <f aca="false">INT(+I204*H204)</f>
        <v>0</v>
      </c>
      <c r="P204" s="135" t="n">
        <f aca="false">IF(D204="","",VLOOKUP(D204,matriz_codigo_prezos,6,FALSE()))</f>
        <v>353</v>
      </c>
      <c r="Q204" s="138" t="n">
        <f aca="false">IF(O204="","",ROUND(O204*P204,2))</f>
        <v>0</v>
      </c>
      <c r="R204" s="231" t="s">
        <v>174</v>
      </c>
      <c r="S204" s="198"/>
    </row>
    <row r="205" customFormat="false" ht="13.8" hidden="false" customHeight="false" outlineLevel="0" collapsed="false">
      <c r="A205" s="128"/>
      <c r="B205" s="128"/>
      <c r="C205" s="36"/>
      <c r="D205" s="139" t="s">
        <v>154</v>
      </c>
      <c r="E205" s="130" t="str">
        <f aca="false">IF(D205="","",VLOOKUP(D205,matriz_codigo_prezos,2,FALSE()))</f>
        <v>Índice de laxas do árido groso UNE EN 933-3 ou equivalente</v>
      </c>
      <c r="F205" s="131" t="n">
        <v>20000</v>
      </c>
      <c r="G205" s="129" t="s">
        <v>54</v>
      </c>
      <c r="H205" s="132" t="n">
        <v>1</v>
      </c>
      <c r="I205" s="133" t="n">
        <f aca="false">IF(   ISNUMBER(A$196), ROUNDUP(A$196/F205,0),0   )</f>
        <v>0</v>
      </c>
      <c r="J205" s="146" t="s">
        <v>71</v>
      </c>
      <c r="K205" s="134" t="n">
        <f aca="false">$N$6</f>
        <v>0.3</v>
      </c>
      <c r="L205" s="129" t="n">
        <f aca="false">ROUNDUP(I205*H205*K205,0)</f>
        <v>0</v>
      </c>
      <c r="M205" s="135" t="n">
        <f aca="false">P205</f>
        <v>66</v>
      </c>
      <c r="N205" s="136" t="n">
        <f aca="false">ROUND(L205*M205,2)</f>
        <v>0</v>
      </c>
      <c r="O205" s="137" t="n">
        <f aca="false">INT(+I205*H205)</f>
        <v>0</v>
      </c>
      <c r="P205" s="135" t="n">
        <f aca="false">IF(D205="","",VLOOKUP(D205,matriz_codigo_prezos,6,FALSE()))</f>
        <v>66</v>
      </c>
      <c r="Q205" s="138" t="n">
        <f aca="false">IF(O205="","",ROUND(O205*P205,2))</f>
        <v>0</v>
      </c>
      <c r="R205" s="231"/>
      <c r="S205" s="198"/>
    </row>
    <row r="206" customFormat="false" ht="13.8" hidden="false" customHeight="false" outlineLevel="0" collapsed="false">
      <c r="A206" s="128"/>
      <c r="B206" s="128"/>
      <c r="C206" s="36"/>
      <c r="D206" s="139" t="s">
        <v>155</v>
      </c>
      <c r="E206" s="130" t="str">
        <f aca="false">IF(D206="","",VLOOKUP(D206,matriz_codigo_prezos,2,FALSE()))</f>
        <v>Porcentaxe de caras de fractura do árido groso UNE EN 933-5 ou equivalente</v>
      </c>
      <c r="F206" s="131" t="n">
        <v>20000</v>
      </c>
      <c r="G206" s="129" t="s">
        <v>54</v>
      </c>
      <c r="H206" s="132" t="n">
        <v>1</v>
      </c>
      <c r="I206" s="133" t="n">
        <f aca="false">IF(   ISNUMBER(A$196), ROUNDUP(A$196/F206,0),0   )</f>
        <v>0</v>
      </c>
      <c r="J206" s="146" t="s">
        <v>71</v>
      </c>
      <c r="K206" s="134" t="n">
        <f aca="false">$N$6</f>
        <v>0.3</v>
      </c>
      <c r="L206" s="129" t="n">
        <f aca="false">ROUNDUP(I206*H206*K206,0)</f>
        <v>0</v>
      </c>
      <c r="M206" s="135" t="n">
        <f aca="false">P206</f>
        <v>35</v>
      </c>
      <c r="N206" s="136" t="n">
        <f aca="false">ROUND(L206*M206,2)</f>
        <v>0</v>
      </c>
      <c r="O206" s="137" t="n">
        <f aca="false">INT(+I206*H206)</f>
        <v>0</v>
      </c>
      <c r="P206" s="135" t="n">
        <f aca="false">IF(D206="","",VLOOKUP(D206,matriz_codigo_prezos,6,FALSE()))</f>
        <v>35</v>
      </c>
      <c r="Q206" s="138" t="n">
        <f aca="false">IF(O206="","",ROUND(O206*P206,2))</f>
        <v>0</v>
      </c>
      <c r="R206" s="231"/>
      <c r="S206" s="198"/>
    </row>
    <row r="207" customFormat="false" ht="13.8" hidden="false" customHeight="false" outlineLevel="0" collapsed="false">
      <c r="A207" s="128"/>
      <c r="B207" s="128"/>
      <c r="C207" s="36"/>
      <c r="D207" s="139"/>
      <c r="E207" s="130"/>
      <c r="F207" s="131"/>
      <c r="G207" s="129"/>
      <c r="H207" s="132"/>
      <c r="I207" s="133"/>
      <c r="J207" s="133"/>
      <c r="K207" s="134"/>
      <c r="L207" s="129"/>
      <c r="M207" s="135"/>
      <c r="N207" s="136"/>
      <c r="O207" s="137"/>
      <c r="P207" s="135"/>
      <c r="Q207" s="138"/>
      <c r="R207" s="199"/>
      <c r="S207" s="198"/>
    </row>
    <row r="208" customFormat="false" ht="13.8" hidden="false" customHeight="false" outlineLevel="0" collapsed="false">
      <c r="A208" s="106" t="s">
        <v>175</v>
      </c>
      <c r="B208" s="106"/>
      <c r="C208" s="106"/>
      <c r="D208" s="106"/>
      <c r="E208" s="107"/>
      <c r="F208" s="106"/>
      <c r="G208" s="108"/>
      <c r="H208" s="108"/>
      <c r="I208" s="108"/>
      <c r="J208" s="167"/>
      <c r="K208" s="134"/>
      <c r="L208" s="129"/>
      <c r="M208" s="135"/>
      <c r="N208" s="136"/>
      <c r="O208" s="137"/>
      <c r="P208" s="135"/>
      <c r="Q208" s="138"/>
      <c r="R208" s="199"/>
      <c r="S208" s="198"/>
    </row>
    <row r="209" customFormat="false" ht="58.95" hidden="false" customHeight="false" outlineLevel="0" collapsed="false">
      <c r="A209" s="115"/>
      <c r="B209" s="116" t="s">
        <v>68</v>
      </c>
      <c r="C209" s="148" t="s">
        <v>176</v>
      </c>
      <c r="D209" s="118"/>
      <c r="E209" s="119"/>
      <c r="F209" s="118"/>
      <c r="G209" s="120"/>
      <c r="H209" s="120"/>
      <c r="I209" s="120"/>
      <c r="J209" s="133"/>
      <c r="K209" s="229"/>
      <c r="L209" s="129"/>
      <c r="M209" s="135"/>
      <c r="N209" s="141"/>
      <c r="O209" s="137"/>
      <c r="P209" s="135"/>
      <c r="Q209" s="136"/>
      <c r="R209" s="197"/>
      <c r="S209" s="198"/>
    </row>
    <row r="210" customFormat="false" ht="26.1" hidden="false" customHeight="false" outlineLevel="0" collapsed="false">
      <c r="A210" s="128"/>
      <c r="B210" s="128"/>
      <c r="C210" s="36"/>
      <c r="D210" s="139" t="s">
        <v>70</v>
      </c>
      <c r="E210" s="130" t="str">
        <f aca="false">IF(D210="","",VLOOKUP(D210,matriz_codigo_prezos,2,FALSE()))</f>
        <v>Determinación da densidade "in situ", incluíndo humidade por medio de isótopos radiactivos (mínimo  10 determinacións) UNE 103900 ou equivalente</v>
      </c>
      <c r="F210" s="131" t="n">
        <v>3500</v>
      </c>
      <c r="G210" s="129" t="s">
        <v>68</v>
      </c>
      <c r="H210" s="132" t="n">
        <v>7</v>
      </c>
      <c r="I210" s="232" t="n">
        <f aca="false">IF(   ISNUMBER(A$209), ROUNDUP(A$209/F210,0),0   )</f>
        <v>0</v>
      </c>
      <c r="J210" s="233" t="s">
        <v>71</v>
      </c>
      <c r="K210" s="134" t="n">
        <f aca="false">$N$6</f>
        <v>0.3</v>
      </c>
      <c r="L210" s="129" t="n">
        <f aca="false">IF(  AND( ISNUMBER( $A$209), $A$209&lt;&gt;0 ),    MAX( 10, ROUNDUP( I210*H210*K210,0) ),0 )</f>
        <v>0</v>
      </c>
      <c r="M210" s="135" t="n">
        <f aca="false">P210</f>
        <v>28</v>
      </c>
      <c r="N210" s="136" t="n">
        <f aca="false">ROUND(L210*M210,2)</f>
        <v>0</v>
      </c>
      <c r="O210" s="129" t="n">
        <f aca="false">IF(  AND( ISNUMBER( $A$209), $A$209&lt;&gt;0 ),    MAX( 10, ROUNDUP( H210*I210,0) ),0 )</f>
        <v>0</v>
      </c>
      <c r="P210" s="135" t="n">
        <f aca="false">IF(D210="","",VLOOKUP(D210,matriz_codigo_prezos,6,FALSE()))</f>
        <v>28</v>
      </c>
      <c r="Q210" s="138" t="n">
        <f aca="false">IF(O210="","",ROUND(O210*P210,2))</f>
        <v>0</v>
      </c>
      <c r="R210" s="203"/>
      <c r="S210" s="198"/>
    </row>
    <row r="211" customFormat="false" ht="17.9" hidden="false" customHeight="false" outlineLevel="0" collapsed="false">
      <c r="A211" s="128"/>
      <c r="B211" s="128"/>
      <c r="C211" s="36"/>
      <c r="D211" s="139" t="s">
        <v>124</v>
      </c>
      <c r="E211" s="130" t="str">
        <f aca="false">IF(D211="","",VLOOKUP(D211,matriz_codigo_prezos,2,FALSE()))</f>
        <v>Resistencia a compresión simple a 7 días (fabricación de 3 probetas) UNE EN 13286-41 ou equivalente, UNE-EN 13286-51 ou equivalente</v>
      </c>
      <c r="F211" s="131" t="n">
        <v>3500</v>
      </c>
      <c r="G211" s="129" t="s">
        <v>68</v>
      </c>
      <c r="H211" s="234" t="n">
        <f aca="false">IF(  cat_Tp&lt;=1, 3, 2  )</f>
        <v>3</v>
      </c>
      <c r="I211" s="232" t="n">
        <f aca="false">IF(   ISNUMBER(A$209), ROUNDUP(A$209/F211,0),0   )</f>
        <v>0</v>
      </c>
      <c r="J211" s="233" t="s">
        <v>71</v>
      </c>
      <c r="K211" s="134" t="n">
        <f aca="false">$N$6</f>
        <v>0.3</v>
      </c>
      <c r="L211" s="129" t="n">
        <f aca="false">ROUNDUP(I211*H211*K211,0)</f>
        <v>0</v>
      </c>
      <c r="M211" s="135" t="n">
        <f aca="false">P211</f>
        <v>125</v>
      </c>
      <c r="N211" s="136" t="n">
        <f aca="false">ROUND(L211*M211,2)</f>
        <v>0</v>
      </c>
      <c r="O211" s="137" t="n">
        <f aca="false">INT(+I211*H211)</f>
        <v>0</v>
      </c>
      <c r="P211" s="135" t="n">
        <f aca="false">IF(D211="","",VLOOKUP(D211,matriz_codigo_prezos,6,FALSE()))</f>
        <v>125</v>
      </c>
      <c r="Q211" s="138" t="n">
        <f aca="false">IF(O211="","",ROUND(O211*P211,2))</f>
        <v>0</v>
      </c>
      <c r="R211" s="203" t="s">
        <v>177</v>
      </c>
      <c r="S211" s="198"/>
    </row>
    <row r="212" customFormat="false" ht="30.55" hidden="false" customHeight="false" outlineLevel="0" collapsed="false">
      <c r="A212" s="207" t="s">
        <v>178</v>
      </c>
      <c r="B212" s="106"/>
      <c r="C212" s="106"/>
      <c r="D212" s="207"/>
      <c r="E212" s="208" t="str">
        <f aca="false">IF(D212="","",VLOOKUP(D212,matriz_codigo_prezos,2,FALSE()))</f>
        <v/>
      </c>
      <c r="F212" s="207"/>
      <c r="G212" s="209"/>
      <c r="H212" s="209"/>
      <c r="I212" s="235"/>
      <c r="J212" s="236"/>
      <c r="K212" s="134"/>
      <c r="L212" s="129"/>
      <c r="M212" s="135"/>
      <c r="N212" s="136"/>
      <c r="O212" s="137"/>
      <c r="P212" s="135"/>
      <c r="Q212" s="138"/>
      <c r="R212" s="199"/>
      <c r="S212" s="198"/>
    </row>
    <row r="213" customFormat="false" ht="13.8" hidden="false" customHeight="false" outlineLevel="0" collapsed="false">
      <c r="A213" s="115"/>
      <c r="B213" s="116" t="s">
        <v>68</v>
      </c>
      <c r="C213" s="205" t="s">
        <v>127</v>
      </c>
      <c r="D213" s="139"/>
      <c r="E213" s="130"/>
      <c r="F213" s="131"/>
      <c r="G213" s="129"/>
      <c r="H213" s="132"/>
      <c r="I213" s="133"/>
      <c r="J213" s="167"/>
      <c r="K213" s="229"/>
      <c r="L213" s="129"/>
      <c r="M213" s="135"/>
      <c r="N213" s="136"/>
      <c r="O213" s="137"/>
      <c r="P213" s="135"/>
      <c r="Q213" s="136"/>
      <c r="R213" s="197"/>
      <c r="S213" s="198"/>
    </row>
    <row r="214" customFormat="false" ht="17.9" hidden="false" customHeight="false" outlineLevel="0" collapsed="false">
      <c r="A214" s="128"/>
      <c r="B214" s="128"/>
      <c r="C214" s="36"/>
      <c r="D214" s="139" t="s">
        <v>179</v>
      </c>
      <c r="E214" s="130" t="str">
        <f aca="false">IF(D214="","",VLOOKUP(D214,matriz_codigo_prezos,2,FALSE()))</f>
        <v>Extracción probeta-testemuña e determinación de densidade e espesor. Mínimo facturable 3 testemuñas</v>
      </c>
      <c r="F214" s="131" t="n">
        <v>3500</v>
      </c>
      <c r="G214" s="129" t="s">
        <v>68</v>
      </c>
      <c r="H214" s="157" t="n">
        <v>6</v>
      </c>
      <c r="I214" s="232" t="n">
        <f aca="false">IF($A$213="",0,IF(($A$213/F214)&gt;1,ROUNDUP($A$213/F214,0),1))</f>
        <v>0</v>
      </c>
      <c r="J214" s="233" t="s">
        <v>71</v>
      </c>
      <c r="K214" s="134" t="n">
        <f aca="false">$N$6</f>
        <v>0.3</v>
      </c>
      <c r="L214" s="129" t="n">
        <f aca="false">IF(  AND( ISNUMBER( $A$213), $A$213&lt;&gt;0 ),    MAX( 3, ROUNDUP( I214*H214*K214,0) ),0 )</f>
        <v>0</v>
      </c>
      <c r="M214" s="135" t="n">
        <f aca="false">P214</f>
        <v>69</v>
      </c>
      <c r="N214" s="136" t="n">
        <f aca="false">ROUND(L214*M214,2)</f>
        <v>0</v>
      </c>
      <c r="O214" s="129" t="n">
        <f aca="false">IF(  AND( ISNUMBER( $A$213), $A$213&lt;&gt;0 ),    MAX( 3, ROUNDUP( H214*I214,0) ),0 )</f>
        <v>0</v>
      </c>
      <c r="P214" s="135" t="n">
        <f aca="false">IF(D214="","",VLOOKUP(D214,matriz_codigo_prezos,6,FALSE()))</f>
        <v>69</v>
      </c>
      <c r="Q214" s="138" t="n">
        <f aca="false">IF(O214="","",ROUND(O214*P214,2))</f>
        <v>0</v>
      </c>
      <c r="R214" s="203" t="s">
        <v>180</v>
      </c>
      <c r="S214" s="198"/>
    </row>
    <row r="215" customFormat="false" ht="13.8" hidden="false" customHeight="false" outlineLevel="0" collapsed="false">
      <c r="A215" s="115"/>
      <c r="B215" s="116" t="s">
        <v>135</v>
      </c>
      <c r="C215" s="205" t="s">
        <v>181</v>
      </c>
      <c r="D215" s="139"/>
      <c r="E215" s="130"/>
      <c r="F215" s="131"/>
      <c r="G215" s="129"/>
      <c r="H215" s="132"/>
      <c r="I215" s="133"/>
      <c r="J215" s="167"/>
      <c r="K215" s="204"/>
      <c r="L215" s="129"/>
      <c r="M215" s="135"/>
      <c r="N215" s="136"/>
      <c r="O215" s="137"/>
      <c r="P215" s="135"/>
      <c r="Q215" s="136"/>
      <c r="R215" s="197"/>
      <c r="S215" s="198"/>
    </row>
    <row r="216" customFormat="false" ht="26.1" hidden="false" customHeight="false" outlineLevel="0" collapsed="false">
      <c r="A216" s="230"/>
      <c r="B216" s="230"/>
      <c r="C216" s="211"/>
      <c r="D216" s="139" t="s">
        <v>138</v>
      </c>
      <c r="E216" s="130" t="str">
        <f aca="false">IF(D216="","",VLOOKUP(D216,matriz_codigo_prezos,2,FALSE()))</f>
        <v>Unidade de movilización e desprazamento de perfilómetro láser, e informe de cálculo do índice de regularidade internacional IRI en pavimentos de estradas, NLT-330 ou equivalente</v>
      </c>
      <c r="F216" s="237"/>
      <c r="G216" s="129" t="s">
        <v>139</v>
      </c>
      <c r="H216" s="157" t="n">
        <v>1</v>
      </c>
      <c r="I216" s="232" t="n">
        <f aca="false">IF(A215="",0, 1)</f>
        <v>0</v>
      </c>
      <c r="J216" s="238" t="s">
        <v>182</v>
      </c>
      <c r="K216" s="134" t="n">
        <v>1</v>
      </c>
      <c r="L216" s="129" t="n">
        <f aca="false">INT(I216*H216*K216)</f>
        <v>0</v>
      </c>
      <c r="M216" s="135" t="n">
        <f aca="false">P216</f>
        <v>2530</v>
      </c>
      <c r="N216" s="136" t="n">
        <f aca="false">ROUND(L216*M216,2)</f>
        <v>0</v>
      </c>
      <c r="O216" s="137" t="n">
        <v>0</v>
      </c>
      <c r="P216" s="135" t="n">
        <f aca="false">IF(D216="","",VLOOKUP(D216,matriz_codigo_prezos,6,FALSE()))</f>
        <v>2530</v>
      </c>
      <c r="Q216" s="138" t="n">
        <f aca="false">IF(O216="","",ROUND(O216*P216,2))</f>
        <v>0</v>
      </c>
      <c r="R216" s="199"/>
      <c r="S216" s="215"/>
      <c r="T216" s="210"/>
      <c r="V216" s="210"/>
      <c r="W216" s="210"/>
      <c r="X216" s="210"/>
      <c r="Y216" s="210"/>
      <c r="Z216" s="210"/>
      <c r="AA216" s="210"/>
      <c r="AB216" s="210"/>
      <c r="AC216" s="168"/>
      <c r="AD216" s="168"/>
      <c r="AE216" s="168"/>
      <c r="AF216" s="168"/>
      <c r="AG216" s="168"/>
      <c r="AH216" s="168"/>
      <c r="AI216" s="168"/>
      <c r="AJ216" s="168"/>
      <c r="AK216" s="168"/>
      <c r="AL216" s="168"/>
      <c r="AM216" s="168"/>
      <c r="AN216" s="168"/>
      <c r="AO216" s="168"/>
      <c r="AP216" s="168"/>
      <c r="AQ216" s="168"/>
      <c r="AR216" s="168"/>
      <c r="AS216" s="168"/>
      <c r="AT216" s="168"/>
      <c r="AU216" s="168"/>
      <c r="AV216" s="168"/>
      <c r="AW216" s="168"/>
      <c r="AX216" s="168"/>
      <c r="AY216" s="168"/>
      <c r="AZ216" s="168"/>
      <c r="BA216" s="168"/>
      <c r="BB216" s="168"/>
      <c r="BC216" s="168"/>
      <c r="BD216" s="168"/>
      <c r="BE216" s="168"/>
      <c r="BF216" s="168"/>
      <c r="BG216" s="168"/>
      <c r="BH216" s="168"/>
      <c r="BI216" s="168"/>
      <c r="BJ216" s="168"/>
      <c r="BK216" s="168"/>
      <c r="BL216" s="168"/>
    </row>
    <row r="217" customFormat="false" ht="13.8" hidden="false" customHeight="false" outlineLevel="0" collapsed="false">
      <c r="A217" s="230"/>
      <c r="B217" s="230"/>
      <c r="C217" s="36"/>
      <c r="D217" s="139" t="s">
        <v>141</v>
      </c>
      <c r="E217" s="130" t="str">
        <f aca="false">IF(D217="","",VLOOKUP(D217,matriz_codigo_prezos,2,FALSE()))</f>
        <v>Km. de medida con perfilómetro láser para cálculo de IRI</v>
      </c>
      <c r="F217" s="212" t="n">
        <v>1000</v>
      </c>
      <c r="G217" s="213" t="s">
        <v>135</v>
      </c>
      <c r="H217" s="220" t="n">
        <v>1</v>
      </c>
      <c r="I217" s="232" t="n">
        <f aca="false">IF($A$215="",0,IF(($A$215/F217)&gt;1,ROUNDUP($A$215/F217,0), 1))</f>
        <v>0</v>
      </c>
      <c r="J217" s="238" t="s">
        <v>182</v>
      </c>
      <c r="K217" s="239" t="n">
        <v>1</v>
      </c>
      <c r="L217" s="213" t="n">
        <f aca="false">INT(I217*H217*K217)</f>
        <v>0</v>
      </c>
      <c r="M217" s="135" t="n">
        <f aca="false">P217</f>
        <v>17</v>
      </c>
      <c r="N217" s="136" t="n">
        <f aca="false">ROUND(L217*M217,2)</f>
        <v>0</v>
      </c>
      <c r="O217" s="137" t="n">
        <v>0</v>
      </c>
      <c r="P217" s="135" t="n">
        <f aca="false">IF(D217="","",VLOOKUP(D217,matriz_codigo_prezos,6,FALSE()))</f>
        <v>17</v>
      </c>
      <c r="Q217" s="138" t="n">
        <f aca="false">IF(O217="","",ROUND(O217*P217,2))</f>
        <v>0</v>
      </c>
      <c r="R217" s="199"/>
      <c r="S217" s="215"/>
      <c r="T217" s="210"/>
      <c r="V217" s="210"/>
      <c r="W217" s="210"/>
      <c r="X217" s="210"/>
      <c r="Y217" s="210"/>
      <c r="Z217" s="210"/>
      <c r="AA217" s="210"/>
      <c r="AB217" s="210"/>
    </row>
    <row r="218" customFormat="false" ht="13.8" hidden="false" customHeight="false" outlineLevel="0" collapsed="false">
      <c r="C218" s="73"/>
      <c r="D218" s="139"/>
      <c r="E218" s="130" t="str">
        <f aca="false">IF(D218="","",VLOOKUP(D218,matriz_codigo_prezos,2,FALSE()))</f>
        <v/>
      </c>
      <c r="F218" s="25"/>
      <c r="G218" s="121"/>
      <c r="H218" s="121"/>
      <c r="I218" s="232"/>
      <c r="J218" s="236"/>
      <c r="K218" s="159"/>
      <c r="L218" s="129"/>
      <c r="M218" s="135"/>
      <c r="N218" s="136"/>
      <c r="O218" s="137"/>
      <c r="P218" s="135"/>
      <c r="Q218" s="138"/>
      <c r="R218" s="199"/>
      <c r="S218" s="198"/>
    </row>
    <row r="219" s="36" customFormat="true" ht="12.8" hidden="false" customHeight="false" outlineLevel="0" collapsed="false">
      <c r="A219" s="101" t="s">
        <v>183</v>
      </c>
      <c r="B219" s="101"/>
      <c r="C219" s="101"/>
      <c r="D219" s="101"/>
      <c r="E219" s="102" t="str">
        <f aca="false">IF(D219="","",VLOOKUP(D219,matriz_codigo_prezos,2,FALSE()))</f>
        <v/>
      </c>
      <c r="F219" s="101"/>
      <c r="G219" s="103"/>
      <c r="H219" s="103"/>
      <c r="I219" s="103"/>
      <c r="J219" s="103"/>
      <c r="K219" s="103"/>
      <c r="L219" s="103"/>
      <c r="M219" s="103"/>
      <c r="N219" s="103"/>
      <c r="O219" s="103"/>
      <c r="P219" s="103"/>
      <c r="Q219" s="103"/>
      <c r="R219" s="191"/>
      <c r="S219" s="222"/>
      <c r="U219" s="152"/>
    </row>
    <row r="220" s="36" customFormat="true" ht="12.8" hidden="false" customHeight="false" outlineLevel="0" collapsed="false">
      <c r="A220" s="106" t="s">
        <v>184</v>
      </c>
      <c r="B220" s="106"/>
      <c r="C220" s="106"/>
      <c r="D220" s="106"/>
      <c r="E220" s="107"/>
      <c r="F220" s="106"/>
      <c r="G220" s="108"/>
      <c r="H220" s="108"/>
      <c r="I220" s="240"/>
      <c r="J220" s="236"/>
      <c r="K220" s="241"/>
      <c r="L220" s="242"/>
      <c r="M220" s="135"/>
      <c r="N220" s="136"/>
      <c r="O220" s="133"/>
      <c r="P220" s="133"/>
      <c r="Q220" s="133"/>
      <c r="R220" s="224"/>
      <c r="S220" s="222"/>
      <c r="U220" s="152"/>
    </row>
    <row r="221" customFormat="false" ht="75.35" hidden="false" customHeight="false" outlineLevel="0" collapsed="false">
      <c r="A221" s="115"/>
      <c r="B221" s="116" t="s">
        <v>167</v>
      </c>
      <c r="C221" s="148" t="s">
        <v>168</v>
      </c>
      <c r="D221" s="118"/>
      <c r="E221" s="119"/>
      <c r="F221" s="118"/>
      <c r="G221" s="120"/>
      <c r="H221" s="120"/>
      <c r="I221" s="120"/>
      <c r="J221" s="167"/>
      <c r="K221" s="143"/>
      <c r="L221" s="129"/>
      <c r="M221" s="135"/>
      <c r="N221" s="141"/>
      <c r="O221" s="137"/>
      <c r="P221" s="135"/>
      <c r="Q221" s="136"/>
      <c r="R221" s="197"/>
      <c r="S221" s="198"/>
    </row>
    <row r="222" customFormat="false" ht="17.9" hidden="false" customHeight="false" outlineLevel="0" collapsed="false">
      <c r="A222" s="128"/>
      <c r="B222" s="128"/>
      <c r="C222" s="36"/>
      <c r="D222" s="129" t="s">
        <v>112</v>
      </c>
      <c r="E222" s="130" t="str">
        <f aca="false">IF(D222="","",VLOOKUP(D222,matriz_codigo_prezos,2,FALSE()))</f>
        <v>Análise granulométrica por tamizado (solos UNE 103101 ou equivalente) (aridos UNE EN 933-1 ou equivalente)</v>
      </c>
      <c r="F222" s="131" t="n">
        <v>1</v>
      </c>
      <c r="G222" s="133" t="s">
        <v>169</v>
      </c>
      <c r="H222" s="132" t="n">
        <v>4</v>
      </c>
      <c r="I222" s="232" t="n">
        <f aca="false">IF(ISNUMBER(A$221), A$221,0)</f>
        <v>0</v>
      </c>
      <c r="J222" s="233" t="s">
        <v>71</v>
      </c>
      <c r="K222" s="134" t="n">
        <f aca="false">$N$6</f>
        <v>0.3</v>
      </c>
      <c r="L222" s="129" t="n">
        <f aca="false">IF(  AND( ISNUMBER( A$221), A$221&lt;&gt;0 ),    MAX(4, ROUNDUP( I222*H222*K222,0) ),0 )</f>
        <v>0</v>
      </c>
      <c r="M222" s="135" t="n">
        <f aca="false">P222</f>
        <v>44</v>
      </c>
      <c r="N222" s="136" t="n">
        <f aca="false">ROUND(L222*M222,2)</f>
        <v>0</v>
      </c>
      <c r="O222" s="137" t="n">
        <f aca="false">INT(I222*H222)</f>
        <v>0</v>
      </c>
      <c r="P222" s="135" t="n">
        <f aca="false">IF(D222="","",VLOOKUP(D222,matriz_codigo_prezos,6,FALSE()))</f>
        <v>44</v>
      </c>
      <c r="Q222" s="138" t="n">
        <f aca="false">IF(O222="","",ROUND(O222*P222,2))</f>
        <v>0</v>
      </c>
      <c r="R222" s="203" t="s">
        <v>174</v>
      </c>
      <c r="S222" s="198"/>
    </row>
    <row r="223" customFormat="false" ht="17.9" hidden="false" customHeight="false" outlineLevel="0" collapsed="false">
      <c r="A223" s="128"/>
      <c r="B223" s="128"/>
      <c r="C223" s="36"/>
      <c r="D223" s="139" t="s">
        <v>152</v>
      </c>
      <c r="E223" s="130" t="str">
        <f aca="false">IF(D223="","",VLOOKUP(D223,matriz_codigo_prezos,2,FALSE()))</f>
        <v>Resistencia á fragmentación Ensaio "Os Ánxeles" UNE EN 1097-2 ou equivalente</v>
      </c>
      <c r="F223" s="131" t="n">
        <v>1</v>
      </c>
      <c r="G223" s="133" t="s">
        <v>169</v>
      </c>
      <c r="H223" s="132" t="n">
        <v>4</v>
      </c>
      <c r="I223" s="232" t="n">
        <f aca="false">IF(ISNUMBER(A$221), A$221,0)</f>
        <v>0</v>
      </c>
      <c r="J223" s="233" t="s">
        <v>71</v>
      </c>
      <c r="K223" s="134" t="n">
        <f aca="false">$N$6</f>
        <v>0.3</v>
      </c>
      <c r="L223" s="129" t="n">
        <f aca="false">IF(  AND( ISNUMBER( A$221), A$221&lt;&gt;0 ),    MAX(4, ROUNDUP( I223*H223*K223,0) ),0 )</f>
        <v>0</v>
      </c>
      <c r="M223" s="135" t="n">
        <f aca="false">P223</f>
        <v>104</v>
      </c>
      <c r="N223" s="136" t="n">
        <f aca="false">ROUND(L223*M223,2)</f>
        <v>0</v>
      </c>
      <c r="O223" s="137" t="n">
        <f aca="false">INT(I223*H223)</f>
        <v>0</v>
      </c>
      <c r="P223" s="135" t="n">
        <f aca="false">IF(D223="","",VLOOKUP(D223,matriz_codigo_prezos,6,FALSE()))</f>
        <v>104</v>
      </c>
      <c r="Q223" s="138" t="n">
        <f aca="false">IF(O223="","",ROUND(O223*P223,2))</f>
        <v>0</v>
      </c>
      <c r="R223" s="203" t="s">
        <v>185</v>
      </c>
      <c r="S223" s="226"/>
    </row>
    <row r="224" customFormat="false" ht="13.8" hidden="false" customHeight="false" outlineLevel="0" collapsed="false">
      <c r="A224" s="128"/>
      <c r="B224" s="128"/>
      <c r="C224" s="36"/>
      <c r="D224" s="139" t="s">
        <v>154</v>
      </c>
      <c r="E224" s="130" t="str">
        <f aca="false">IF(D224="","",VLOOKUP(D224,matriz_codigo_prezos,2,FALSE()))</f>
        <v>Índice de laxas do árido groso UNE EN 933-3 ou equivalente</v>
      </c>
      <c r="F224" s="131" t="n">
        <v>1</v>
      </c>
      <c r="G224" s="133" t="s">
        <v>169</v>
      </c>
      <c r="H224" s="132" t="n">
        <v>4</v>
      </c>
      <c r="I224" s="232" t="n">
        <f aca="false">IF(ISNUMBER(A$221), A$221,0)</f>
        <v>0</v>
      </c>
      <c r="J224" s="233" t="s">
        <v>71</v>
      </c>
      <c r="K224" s="134" t="n">
        <f aca="false">$N$6</f>
        <v>0.3</v>
      </c>
      <c r="L224" s="129" t="n">
        <f aca="false">IF(  AND( ISNUMBER( A$221), A$221&lt;&gt;0 ),    MAX(4, ROUNDUP( I224*H224*K224,0) ),0 )</f>
        <v>0</v>
      </c>
      <c r="M224" s="135" t="n">
        <f aca="false">P224</f>
        <v>66</v>
      </c>
      <c r="N224" s="136" t="n">
        <f aca="false">ROUND(L224*M224,2)</f>
        <v>0</v>
      </c>
      <c r="O224" s="137" t="n">
        <f aca="false">INT(I224*H224)</f>
        <v>0</v>
      </c>
      <c r="P224" s="135" t="n">
        <f aca="false">IF(D224="","",VLOOKUP(D224,matriz_codigo_prezos,6,FALSE()))</f>
        <v>66</v>
      </c>
      <c r="Q224" s="138" t="n">
        <f aca="false">IF(O224="","",ROUND(O224*P224,2))</f>
        <v>0</v>
      </c>
      <c r="R224" s="231" t="s">
        <v>174</v>
      </c>
      <c r="S224" s="198"/>
    </row>
    <row r="225" customFormat="false" ht="13.8" hidden="false" customHeight="false" outlineLevel="0" collapsed="false">
      <c r="A225" s="128"/>
      <c r="B225" s="128"/>
      <c r="C225" s="36"/>
      <c r="D225" s="139" t="s">
        <v>155</v>
      </c>
      <c r="E225" s="130" t="str">
        <f aca="false">IF(D225="","",VLOOKUP(D225,matriz_codigo_prezos,2,FALSE()))</f>
        <v>Porcentaxe de caras de fractura do árido groso UNE EN 933-5 ou equivalente</v>
      </c>
      <c r="F225" s="131" t="n">
        <v>1</v>
      </c>
      <c r="G225" s="133" t="s">
        <v>169</v>
      </c>
      <c r="H225" s="132" t="n">
        <v>4</v>
      </c>
      <c r="I225" s="232" t="n">
        <f aca="false">IF(ISNUMBER(A$221), A$221,0)</f>
        <v>0</v>
      </c>
      <c r="J225" s="233" t="s">
        <v>71</v>
      </c>
      <c r="K225" s="134" t="n">
        <f aca="false">$N$6</f>
        <v>0.3</v>
      </c>
      <c r="L225" s="129" t="n">
        <f aca="false">IF(  AND( ISNUMBER( A$221), A$221&lt;&gt;0 ),    MAX(4, ROUNDUP( I225*H225*K225,0) ),0 )</f>
        <v>0</v>
      </c>
      <c r="M225" s="135" t="n">
        <f aca="false">P225</f>
        <v>35</v>
      </c>
      <c r="N225" s="136" t="n">
        <f aca="false">ROUND(L225*M225,2)</f>
        <v>0</v>
      </c>
      <c r="O225" s="137" t="n">
        <f aca="false">INT(I225*H225)</f>
        <v>0</v>
      </c>
      <c r="P225" s="135" t="n">
        <f aca="false">IF(D225="","",VLOOKUP(D225,matriz_codigo_prezos,6,FALSE()))</f>
        <v>35</v>
      </c>
      <c r="Q225" s="138" t="n">
        <f aca="false">IF(O225="","",ROUND(O225*P225,2))</f>
        <v>0</v>
      </c>
      <c r="R225" s="231"/>
      <c r="S225" s="198"/>
    </row>
    <row r="226" customFormat="false" ht="17.9" hidden="false" customHeight="false" outlineLevel="0" collapsed="false">
      <c r="A226" s="128"/>
      <c r="B226" s="128"/>
      <c r="C226" s="36"/>
      <c r="D226" s="139" t="s">
        <v>171</v>
      </c>
      <c r="E226" s="130" t="str">
        <f aca="false">IF(D226="","",VLOOKUP(D226,matriz_codigo_prezos,2,FALSE()))</f>
        <v>Contido ponderal en xofre total (S) e en sulfatos solubles (SO3) UNE EN 1744-1 ou equivalente</v>
      </c>
      <c r="F226" s="131" t="n">
        <v>1</v>
      </c>
      <c r="G226" s="133" t="s">
        <v>169</v>
      </c>
      <c r="H226" s="132" t="n">
        <v>4</v>
      </c>
      <c r="I226" s="232" t="n">
        <f aca="false">IF(ISNUMBER(A$221), A$221,0)</f>
        <v>0</v>
      </c>
      <c r="J226" s="233" t="s">
        <v>71</v>
      </c>
      <c r="K226" s="134" t="n">
        <f aca="false">$N$6</f>
        <v>0.3</v>
      </c>
      <c r="L226" s="129" t="n">
        <f aca="false">IF(  AND( ISNUMBER( A$221), A$221&lt;&gt;0 ),    MAX(4, ROUNDUP( I226*H226*K226,0) ),0 )</f>
        <v>0</v>
      </c>
      <c r="M226" s="135" t="n">
        <f aca="false">P226</f>
        <v>353</v>
      </c>
      <c r="N226" s="136" t="n">
        <f aca="false">ROUND(L226*M226,2)</f>
        <v>0</v>
      </c>
      <c r="O226" s="137" t="n">
        <f aca="false">INT(I226*H226)</f>
        <v>0</v>
      </c>
      <c r="P226" s="135" t="n">
        <f aca="false">IF(D226="","",VLOOKUP(D226,matriz_codigo_prezos,6,FALSE()))</f>
        <v>353</v>
      </c>
      <c r="Q226" s="138" t="n">
        <f aca="false">IF(O226="","",ROUND(O226*P226,2))</f>
        <v>0</v>
      </c>
      <c r="R226" s="231"/>
      <c r="S226" s="198"/>
    </row>
    <row r="227" customFormat="false" ht="13.8" hidden="false" customHeight="false" outlineLevel="0" collapsed="false">
      <c r="A227" s="128"/>
      <c r="B227" s="128"/>
      <c r="C227" s="36"/>
      <c r="D227" s="139" t="s">
        <v>186</v>
      </c>
      <c r="E227" s="130" t="str">
        <f aca="false">IF(D227="","",VLOOKUP(D227,matriz_codigo_prezos,2,FALSE()))</f>
        <v>Determinación de compostos orgánicos UNE EN 1744-1 ou equivalente</v>
      </c>
      <c r="F227" s="131" t="n">
        <v>1</v>
      </c>
      <c r="G227" s="133" t="s">
        <v>169</v>
      </c>
      <c r="H227" s="132" t="n">
        <v>4</v>
      </c>
      <c r="I227" s="232" t="n">
        <f aca="false">IF(ISNUMBER(A$221), A$221,0)</f>
        <v>0</v>
      </c>
      <c r="J227" s="233" t="s">
        <v>71</v>
      </c>
      <c r="K227" s="134" t="n">
        <f aca="false">$N$6</f>
        <v>0.3</v>
      </c>
      <c r="L227" s="129" t="n">
        <f aca="false">IF(  AND( ISNUMBER( A$221), A$221&lt;&gt;0 ),    MAX(4, ROUNDUP( I227*H227*K227,0) ),0 )</f>
        <v>0</v>
      </c>
      <c r="M227" s="135" t="n">
        <f aca="false">P227</f>
        <v>35</v>
      </c>
      <c r="N227" s="136" t="n">
        <f aca="false">ROUND(L227*M227,2)</f>
        <v>0</v>
      </c>
      <c r="O227" s="137" t="n">
        <f aca="false">INT(I227*H227)</f>
        <v>0</v>
      </c>
      <c r="P227" s="135" t="n">
        <f aca="false">IF(D227="","",VLOOKUP(D227,matriz_codigo_prezos,6,FALSE()))</f>
        <v>35</v>
      </c>
      <c r="Q227" s="138" t="n">
        <f aca="false">IF(O227="","",ROUND(O227*P227,2))</f>
        <v>0</v>
      </c>
      <c r="R227" s="231"/>
      <c r="S227" s="198"/>
    </row>
    <row r="228" customFormat="false" ht="17.9" hidden="false" customHeight="false" outlineLevel="0" collapsed="false">
      <c r="A228" s="128"/>
      <c r="B228" s="128"/>
      <c r="C228" s="36"/>
      <c r="D228" s="139" t="s">
        <v>113</v>
      </c>
      <c r="E228" s="130" t="str">
        <f aca="false">IF(D228="","",VLOOKUP(D228,matriz_codigo_prezos,2,FALSE()))</f>
        <v>Límites de Atterberg. Límite líquido e limite plástico UNE 103103, 103104 ou equivalente</v>
      </c>
      <c r="F228" s="131" t="n">
        <v>1</v>
      </c>
      <c r="G228" s="133" t="s">
        <v>169</v>
      </c>
      <c r="H228" s="132" t="n">
        <v>4</v>
      </c>
      <c r="I228" s="232" t="n">
        <f aca="false">IF(ISNUMBER(A$221), A$221,0)</f>
        <v>0</v>
      </c>
      <c r="J228" s="233" t="s">
        <v>71</v>
      </c>
      <c r="K228" s="134" t="n">
        <f aca="false">$N$6</f>
        <v>0.3</v>
      </c>
      <c r="L228" s="129" t="n">
        <f aca="false">IF(  AND( ISNUMBER( A$221), A$221&lt;&gt;0 ),    MAX(4, ROUNDUP( I228*H228*K228,0) ),0 )</f>
        <v>0</v>
      </c>
      <c r="M228" s="135" t="n">
        <f aca="false">P228</f>
        <v>63</v>
      </c>
      <c r="N228" s="136" t="n">
        <f aca="false">ROUND(L228*M228,2)</f>
        <v>0</v>
      </c>
      <c r="O228" s="137" t="n">
        <f aca="false">INT(I228*H228)</f>
        <v>0</v>
      </c>
      <c r="P228" s="135" t="n">
        <f aca="false">IF(D228="","",VLOOKUP(D228,matriz_codigo_prezos,6,FALSE()))</f>
        <v>63</v>
      </c>
      <c r="Q228" s="138" t="n">
        <f aca="false">IF(O228="","",ROUND(O228*P228,2))</f>
        <v>0</v>
      </c>
      <c r="R228" s="231"/>
      <c r="S228" s="198"/>
    </row>
    <row r="229" customFormat="false" ht="13.8" hidden="false" customHeight="false" outlineLevel="0" collapsed="false">
      <c r="A229" s="128"/>
      <c r="B229" s="128"/>
      <c r="C229" s="36"/>
      <c r="D229" s="129" t="s">
        <v>153</v>
      </c>
      <c r="E229" s="130" t="str">
        <f aca="false">IF(D229="","",VLOOKUP(D229,matriz_codigo_prezos,2,FALSE()))</f>
        <v>Equivalente de Area UNE EN 933-8 (Anexo A) ou equivalente</v>
      </c>
      <c r="F229" s="131" t="n">
        <v>1</v>
      </c>
      <c r="G229" s="133" t="s">
        <v>169</v>
      </c>
      <c r="H229" s="132" t="n">
        <v>4</v>
      </c>
      <c r="I229" s="232" t="n">
        <f aca="false">IF(ISNUMBER(A$221), A$221,0)</f>
        <v>0</v>
      </c>
      <c r="J229" s="233" t="s">
        <v>71</v>
      </c>
      <c r="K229" s="134" t="n">
        <f aca="false">$N$6</f>
        <v>0.3</v>
      </c>
      <c r="L229" s="129" t="n">
        <f aca="false">IF(  AND( ISNUMBER( A$221), A$221&lt;&gt;0 ),    MAX(4, ROUNDUP( I229*H229*K229,0) ),0 )</f>
        <v>0</v>
      </c>
      <c r="M229" s="135" t="n">
        <f aca="false">P229</f>
        <v>51</v>
      </c>
      <c r="N229" s="136" t="n">
        <f aca="false">ROUND(L229*M229,2)</f>
        <v>0</v>
      </c>
      <c r="O229" s="137" t="n">
        <f aca="false">INT(I229*H229)</f>
        <v>0</v>
      </c>
      <c r="P229" s="135" t="n">
        <f aca="false">IF(D229="","",VLOOKUP(D229,matriz_codigo_prezos,6,FALSE()))</f>
        <v>51</v>
      </c>
      <c r="Q229" s="138" t="n">
        <f aca="false">IF(O229="","",ROUND(O229*P229,2))</f>
        <v>0</v>
      </c>
      <c r="R229" s="203" t="s">
        <v>187</v>
      </c>
      <c r="S229" s="198"/>
    </row>
    <row r="230" customFormat="false" ht="13.8" hidden="false" customHeight="false" outlineLevel="0" collapsed="false">
      <c r="A230" s="106" t="s">
        <v>188</v>
      </c>
      <c r="B230" s="106"/>
      <c r="C230" s="106"/>
      <c r="D230" s="106"/>
      <c r="E230" s="107"/>
      <c r="F230" s="106"/>
      <c r="G230" s="108"/>
      <c r="H230" s="108"/>
      <c r="I230" s="240"/>
      <c r="J230" s="236"/>
      <c r="K230" s="161"/>
      <c r="L230" s="162"/>
      <c r="M230" s="135"/>
      <c r="N230" s="163"/>
      <c r="O230" s="164"/>
      <c r="P230" s="135"/>
      <c r="Q230" s="138"/>
      <c r="R230" s="199"/>
      <c r="S230" s="198"/>
    </row>
    <row r="231" customFormat="false" ht="34.3" hidden="false" customHeight="false" outlineLevel="0" collapsed="false">
      <c r="A231" s="115"/>
      <c r="B231" s="116" t="s">
        <v>119</v>
      </c>
      <c r="C231" s="148" t="s">
        <v>120</v>
      </c>
      <c r="D231" s="118"/>
      <c r="E231" s="119"/>
      <c r="F231" s="118"/>
      <c r="G231" s="120"/>
      <c r="H231" s="120"/>
      <c r="I231" s="120"/>
      <c r="J231" s="167"/>
      <c r="K231" s="143"/>
      <c r="L231" s="129"/>
      <c r="M231" s="135"/>
      <c r="N231" s="136"/>
      <c r="O231" s="137"/>
      <c r="P231" s="135"/>
      <c r="Q231" s="136"/>
      <c r="R231" s="197"/>
      <c r="S231" s="198"/>
    </row>
    <row r="232" customFormat="false" ht="13.8" hidden="false" customHeight="false" outlineLevel="0" collapsed="false">
      <c r="A232" s="128"/>
      <c r="B232" s="128"/>
      <c r="C232" s="36"/>
      <c r="D232" s="139" t="s">
        <v>121</v>
      </c>
      <c r="E232" s="130" t="str">
        <f aca="false">IF(D232="","",VLOOKUP(D232,matriz_codigo_prezos,2,FALSE()))</f>
        <v>Prazo de traballabilidade UNE 41240 ou equivalente</v>
      </c>
      <c r="F232" s="131" t="n">
        <v>1</v>
      </c>
      <c r="G232" s="129" t="s">
        <v>119</v>
      </c>
      <c r="H232" s="132" t="n">
        <v>3</v>
      </c>
      <c r="I232" s="232" t="n">
        <f aca="false">IF(   ISNUMBER(A$231), ROUNDUP(A$231/F232,0),0   )</f>
        <v>0</v>
      </c>
      <c r="J232" s="233" t="s">
        <v>71</v>
      </c>
      <c r="K232" s="134" t="n">
        <f aca="false">$N$6</f>
        <v>0.3</v>
      </c>
      <c r="L232" s="129" t="n">
        <f aca="false">ROUNDUP(I232*H232*K232,0)</f>
        <v>0</v>
      </c>
      <c r="M232" s="135" t="n">
        <f aca="false">P232</f>
        <v>180</v>
      </c>
      <c r="N232" s="136" t="n">
        <f aca="false">ROUND(L232*M232,2)</f>
        <v>0</v>
      </c>
      <c r="O232" s="137" t="n">
        <f aca="false">INT(H232*I232)</f>
        <v>0</v>
      </c>
      <c r="P232" s="135" t="n">
        <f aca="false">IF(D232="","",VLOOKUP(D232,matriz_codigo_prezos,6,FALSE()))</f>
        <v>180</v>
      </c>
      <c r="Q232" s="138" t="n">
        <f aca="false">IF(O232="","",ROUND(O232*P232,2))</f>
        <v>0</v>
      </c>
      <c r="R232" s="199"/>
      <c r="S232" s="198"/>
    </row>
    <row r="233" customFormat="false" ht="17.9" hidden="false" customHeight="false" outlineLevel="0" collapsed="false">
      <c r="A233" s="128"/>
      <c r="B233" s="128"/>
      <c r="C233" s="36"/>
      <c r="D233" s="139" t="s">
        <v>124</v>
      </c>
      <c r="E233" s="130" t="str">
        <f aca="false">IF(D233="","",VLOOKUP(D233,matriz_codigo_prezos,2,FALSE()))</f>
        <v>Resistencia a compresión simple a 7 días (fabricación de 3 probetas) UNE EN 13286-41 ou equivalente, UNE-EN 13286-51 ou equivalente</v>
      </c>
      <c r="F233" s="131" t="n">
        <v>1</v>
      </c>
      <c r="G233" s="129" t="s">
        <v>119</v>
      </c>
      <c r="H233" s="132" t="n">
        <v>3</v>
      </c>
      <c r="I233" s="232" t="n">
        <f aca="false">IF(   ISNUMBER(A$231), ROUNDUP(A$231/F233,0),0   )</f>
        <v>0</v>
      </c>
      <c r="J233" s="233" t="s">
        <v>71</v>
      </c>
      <c r="K233" s="134" t="n">
        <f aca="false">$N$6</f>
        <v>0.3</v>
      </c>
      <c r="L233" s="129" t="n">
        <f aca="false">ROUNDUP(I233*H233*K233,0)</f>
        <v>0</v>
      </c>
      <c r="M233" s="135" t="n">
        <f aca="false">P233</f>
        <v>125</v>
      </c>
      <c r="N233" s="136" t="n">
        <f aca="false">ROUND(L233*M233,2)</f>
        <v>0</v>
      </c>
      <c r="O233" s="137" t="n">
        <f aca="false">INT(H233*I233)</f>
        <v>0</v>
      </c>
      <c r="P233" s="135" t="n">
        <f aca="false">IF(D233="","",VLOOKUP(D233,matriz_codigo_prezos,6,FALSE()))</f>
        <v>125</v>
      </c>
      <c r="Q233" s="138" t="n">
        <f aca="false">IF(O233="","",ROUND(O233*P233,2))</f>
        <v>0</v>
      </c>
      <c r="R233" s="224"/>
      <c r="S233" s="198"/>
    </row>
    <row r="234" customFormat="false" ht="13.8" hidden="false" customHeight="false" outlineLevel="0" collapsed="false">
      <c r="A234" s="106" t="s">
        <v>189</v>
      </c>
      <c r="B234" s="106"/>
      <c r="C234" s="106"/>
      <c r="D234" s="106"/>
      <c r="E234" s="107"/>
      <c r="F234" s="106"/>
      <c r="G234" s="108"/>
      <c r="H234" s="108"/>
      <c r="I234" s="240"/>
      <c r="J234" s="236"/>
      <c r="K234" s="134"/>
      <c r="L234" s="129"/>
      <c r="M234" s="135"/>
      <c r="N234" s="136"/>
      <c r="O234" s="137"/>
      <c r="P234" s="135"/>
      <c r="Q234" s="138"/>
      <c r="R234" s="224"/>
      <c r="S234" s="198"/>
    </row>
    <row r="235" customFormat="false" ht="58.95" hidden="false" customHeight="false" outlineLevel="0" collapsed="false">
      <c r="A235" s="115"/>
      <c r="B235" s="116" t="s">
        <v>54</v>
      </c>
      <c r="C235" s="148" t="s">
        <v>159</v>
      </c>
      <c r="D235" s="118"/>
      <c r="E235" s="119"/>
      <c r="F235" s="118"/>
      <c r="G235" s="120"/>
      <c r="H235" s="120"/>
      <c r="I235" s="120"/>
      <c r="J235" s="133"/>
      <c r="K235" s="229"/>
      <c r="L235" s="129"/>
      <c r="M235" s="135"/>
      <c r="N235" s="141"/>
      <c r="O235" s="137"/>
      <c r="P235" s="135"/>
      <c r="Q235" s="136"/>
      <c r="R235" s="197"/>
      <c r="S235" s="198"/>
    </row>
    <row r="236" customFormat="false" ht="13.8" hidden="false" customHeight="false" outlineLevel="0" collapsed="false">
      <c r="A236" s="33"/>
      <c r="B236" s="33"/>
      <c r="C236" s="205" t="s">
        <v>160</v>
      </c>
      <c r="D236" s="139"/>
      <c r="E236" s="130"/>
      <c r="F236" s="227"/>
      <c r="G236" s="129"/>
      <c r="H236" s="157"/>
      <c r="I236" s="232"/>
      <c r="J236" s="167"/>
      <c r="K236" s="243"/>
      <c r="L236" s="129"/>
      <c r="M236" s="135"/>
      <c r="N236" s="141"/>
      <c r="O236" s="137"/>
      <c r="P236" s="135"/>
      <c r="Q236" s="138"/>
      <c r="R236" s="199"/>
      <c r="S236" s="198"/>
    </row>
    <row r="237" customFormat="false" ht="13.8" hidden="false" customHeight="false" outlineLevel="0" collapsed="false">
      <c r="A237" s="128"/>
      <c r="B237" s="128"/>
      <c r="C237" s="36"/>
      <c r="D237" s="139" t="s">
        <v>128</v>
      </c>
      <c r="E237" s="130" t="str">
        <f aca="false">IF(D237="","",VLOOKUP(D237,matriz_codigo_prezos,2,FALSE()))</f>
        <v>Humidade natural UNE EN 1097-5 ou equivalente</v>
      </c>
      <c r="F237" s="131" t="n">
        <v>1000</v>
      </c>
      <c r="G237" s="129" t="s">
        <v>54</v>
      </c>
      <c r="H237" s="132" t="n">
        <v>2</v>
      </c>
      <c r="I237" s="232" t="n">
        <f aca="false">IF($A$235&gt;0,   ROUNDUP($A$235/F237,0), 0)</f>
        <v>0</v>
      </c>
      <c r="J237" s="233" t="s">
        <v>71</v>
      </c>
      <c r="K237" s="134" t="n">
        <f aca="false">$N$6</f>
        <v>0.3</v>
      </c>
      <c r="L237" s="129" t="n">
        <f aca="false">ROUNDUP(I237*H237*K237,0)</f>
        <v>0</v>
      </c>
      <c r="M237" s="135" t="n">
        <f aca="false">P237</f>
        <v>16</v>
      </c>
      <c r="N237" s="136" t="n">
        <f aca="false">ROUND(L237*M237,2)</f>
        <v>0</v>
      </c>
      <c r="O237" s="137" t="n">
        <f aca="false">INT(+I237*H237)</f>
        <v>0</v>
      </c>
      <c r="P237" s="135" t="n">
        <f aca="false">IF(D237="","",VLOOKUP(D237,matriz_codigo_prezos,6,FALSE()))</f>
        <v>16</v>
      </c>
      <c r="Q237" s="138" t="n">
        <f aca="false">IF(O237="","",ROUND(O237*P237,2))</f>
        <v>0</v>
      </c>
      <c r="R237" s="203" t="s">
        <v>174</v>
      </c>
      <c r="S237" s="198"/>
    </row>
    <row r="238" customFormat="false" ht="13.8" hidden="false" customHeight="false" outlineLevel="0" collapsed="false">
      <c r="A238" s="128"/>
      <c r="B238" s="128"/>
      <c r="C238" s="36"/>
      <c r="D238" s="139" t="s">
        <v>153</v>
      </c>
      <c r="E238" s="130" t="str">
        <f aca="false">IF(D238="","",VLOOKUP(D238,matriz_codigo_prezos,2,FALSE()))</f>
        <v>Equivalente de Area UNE EN 933-8 (Anexo A) ou equivalente</v>
      </c>
      <c r="F238" s="131" t="n">
        <v>1000</v>
      </c>
      <c r="G238" s="129" t="s">
        <v>54</v>
      </c>
      <c r="H238" s="132" t="n">
        <v>2</v>
      </c>
      <c r="I238" s="232" t="n">
        <f aca="false">IF($A$235&gt;0,   ROUNDUP($A$235/F238,0), 0)</f>
        <v>0</v>
      </c>
      <c r="J238" s="233" t="s">
        <v>71</v>
      </c>
      <c r="K238" s="134" t="n">
        <f aca="false">$N$6</f>
        <v>0.3</v>
      </c>
      <c r="L238" s="129" t="n">
        <f aca="false">ROUNDUP(I238*H238*K238,0)</f>
        <v>0</v>
      </c>
      <c r="M238" s="135" t="n">
        <f aca="false">P238</f>
        <v>51</v>
      </c>
      <c r="N238" s="136" t="n">
        <f aca="false">ROUND(L238*M238,2)</f>
        <v>0</v>
      </c>
      <c r="O238" s="137" t="n">
        <f aca="false">INT(+I238*H238)</f>
        <v>0</v>
      </c>
      <c r="P238" s="135" t="n">
        <f aca="false">IF(D238="","",VLOOKUP(D238,matriz_codigo_prezos,6,FALSE()))</f>
        <v>51</v>
      </c>
      <c r="Q238" s="138" t="n">
        <f aca="false">IF(O238="","",ROUND(O238*P238,2))</f>
        <v>0</v>
      </c>
      <c r="R238" s="203" t="s">
        <v>187</v>
      </c>
      <c r="S238" s="198"/>
    </row>
    <row r="239" customFormat="false" ht="17.9" hidden="false" customHeight="false" outlineLevel="0" collapsed="false">
      <c r="A239" s="128"/>
      <c r="B239" s="128"/>
      <c r="C239" s="36"/>
      <c r="D239" s="129" t="s">
        <v>112</v>
      </c>
      <c r="E239" s="130" t="str">
        <f aca="false">IF(D239="","",VLOOKUP(D239,matriz_codigo_prezos,2,FALSE()))</f>
        <v>Análise granulométrica por tamizado (solos UNE 103101 ou equivalente) (aridos UNE EN 933-1 ou equivalente)</v>
      </c>
      <c r="F239" s="131" t="n">
        <v>1000</v>
      </c>
      <c r="G239" s="129" t="s">
        <v>54</v>
      </c>
      <c r="H239" s="132" t="n">
        <v>2</v>
      </c>
      <c r="I239" s="232" t="n">
        <f aca="false">IF($A$235&gt;0,   ROUNDUP($A$235/F239,0), 0)</f>
        <v>0</v>
      </c>
      <c r="J239" s="233" t="s">
        <v>71</v>
      </c>
      <c r="K239" s="134" t="n">
        <f aca="false">$N$6</f>
        <v>0.3</v>
      </c>
      <c r="L239" s="129" t="n">
        <f aca="false">ROUNDUP(I239*H239*K239,0)</f>
        <v>0</v>
      </c>
      <c r="M239" s="135" t="n">
        <f aca="false">P239</f>
        <v>44</v>
      </c>
      <c r="N239" s="136" t="n">
        <f aca="false">ROUND(L239*M239,2)</f>
        <v>0</v>
      </c>
      <c r="O239" s="137" t="n">
        <f aca="false">INT(+I239*H239)</f>
        <v>0</v>
      </c>
      <c r="P239" s="135" t="n">
        <f aca="false">IF(D239="","",VLOOKUP(D239,matriz_codigo_prezos,6,FALSE()))</f>
        <v>44</v>
      </c>
      <c r="Q239" s="138" t="n">
        <f aca="false">IF(O239="","",ROUND(O239*P239,2))</f>
        <v>0</v>
      </c>
      <c r="R239" s="203" t="s">
        <v>174</v>
      </c>
      <c r="S239" s="198"/>
    </row>
    <row r="240" customFormat="false" ht="13.8" hidden="false" customHeight="false" outlineLevel="0" collapsed="false">
      <c r="A240" s="33"/>
      <c r="B240" s="33"/>
      <c r="C240" s="205" t="s">
        <v>161</v>
      </c>
      <c r="D240" s="139"/>
      <c r="E240" s="130"/>
      <c r="F240" s="227"/>
      <c r="G240" s="129"/>
      <c r="H240" s="157"/>
      <c r="I240" s="232"/>
      <c r="J240" s="236"/>
      <c r="K240" s="243"/>
      <c r="L240" s="129"/>
      <c r="M240" s="135"/>
      <c r="N240" s="141"/>
      <c r="O240" s="137"/>
      <c r="P240" s="135"/>
      <c r="Q240" s="138"/>
      <c r="R240" s="199"/>
      <c r="S240" s="198"/>
    </row>
    <row r="241" customFormat="false" ht="17.9" hidden="false" customHeight="false" outlineLevel="0" collapsed="false">
      <c r="A241" s="128"/>
      <c r="B241" s="128"/>
      <c r="C241" s="36"/>
      <c r="D241" s="139" t="s">
        <v>113</v>
      </c>
      <c r="E241" s="130" t="str">
        <f aca="false">IF(D241="","",VLOOKUP(D241,matriz_codigo_prezos,2,FALSE()))</f>
        <v>Límites de Atterberg. Límite líquido e limite plástico UNE 103103, 103104 ou equivalente</v>
      </c>
      <c r="F241" s="131" t="n">
        <v>5000</v>
      </c>
      <c r="G241" s="129" t="s">
        <v>54</v>
      </c>
      <c r="H241" s="132" t="n">
        <v>1</v>
      </c>
      <c r="I241" s="232" t="n">
        <f aca="false">IF($A$235&gt;0,   ROUNDUP($A$235/F241,0), 0)</f>
        <v>0</v>
      </c>
      <c r="J241" s="233" t="s">
        <v>71</v>
      </c>
      <c r="K241" s="134" t="n">
        <f aca="false">$N$6</f>
        <v>0.3</v>
      </c>
      <c r="L241" s="129" t="n">
        <f aca="false">ROUNDUP(I241*H241*K241,0)</f>
        <v>0</v>
      </c>
      <c r="M241" s="135" t="n">
        <f aca="false">P241</f>
        <v>63</v>
      </c>
      <c r="N241" s="136" t="n">
        <f aca="false">ROUND(L241*M241,2)</f>
        <v>0</v>
      </c>
      <c r="O241" s="137" t="n">
        <f aca="false">INT(+I241*H241)</f>
        <v>0</v>
      </c>
      <c r="P241" s="135" t="n">
        <f aca="false">IF(D241="","",VLOOKUP(D241,matriz_codigo_prezos,6,FALSE()))</f>
        <v>63</v>
      </c>
      <c r="Q241" s="138" t="n">
        <f aca="false">IF(O241="","",ROUND(O241*P241,2))</f>
        <v>0</v>
      </c>
      <c r="R241" s="203" t="s">
        <v>187</v>
      </c>
      <c r="S241" s="198"/>
    </row>
    <row r="242" customFormat="false" ht="13.8" hidden="false" customHeight="false" outlineLevel="0" collapsed="false">
      <c r="A242" s="128"/>
      <c r="B242" s="128"/>
      <c r="C242" s="36"/>
      <c r="D242" s="139" t="s">
        <v>133</v>
      </c>
      <c r="E242" s="130" t="str">
        <f aca="false">IF(D242="","",VLOOKUP(D242,matriz_codigo_prezos,2,FALSE()))</f>
        <v>Ensaio de compactación Proctor Modificado UNE 103501 ou equivalente</v>
      </c>
      <c r="F242" s="131" t="n">
        <v>5000</v>
      </c>
      <c r="G242" s="129" t="s">
        <v>54</v>
      </c>
      <c r="H242" s="132" t="n">
        <v>1</v>
      </c>
      <c r="I242" s="232" t="n">
        <f aca="false">IF($A$235&gt;0,   ROUNDUP($A$235/F242,0), 0)</f>
        <v>0</v>
      </c>
      <c r="J242" s="233" t="s">
        <v>71</v>
      </c>
      <c r="K242" s="134" t="n">
        <f aca="false">$N$6</f>
        <v>0.3</v>
      </c>
      <c r="L242" s="129" t="n">
        <f aca="false">ROUNDUP(I242*H242*K242,0)</f>
        <v>0</v>
      </c>
      <c r="M242" s="135" t="n">
        <f aca="false">P242</f>
        <v>92</v>
      </c>
      <c r="N242" s="136" t="n">
        <f aca="false">ROUND(L242*M242,2)</f>
        <v>0</v>
      </c>
      <c r="O242" s="137" t="n">
        <f aca="false">INT(+I242*H242)</f>
        <v>0</v>
      </c>
      <c r="P242" s="135" t="n">
        <f aca="false">IF(D242="","",VLOOKUP(D242,matriz_codigo_prezos,6,FALSE()))</f>
        <v>92</v>
      </c>
      <c r="Q242" s="138" t="n">
        <f aca="false">IF(O242="","",ROUND(O242*P242,2))</f>
        <v>0</v>
      </c>
      <c r="R242" s="203" t="s">
        <v>174</v>
      </c>
      <c r="S242" s="198"/>
    </row>
    <row r="243" customFormat="false" ht="13.8" hidden="false" customHeight="false" outlineLevel="0" collapsed="false">
      <c r="A243" s="33"/>
      <c r="B243" s="33"/>
      <c r="C243" s="205" t="s">
        <v>162</v>
      </c>
      <c r="D243" s="139"/>
      <c r="E243" s="130"/>
      <c r="F243" s="227"/>
      <c r="G243" s="129"/>
      <c r="H243" s="157"/>
      <c r="I243" s="232"/>
      <c r="J243" s="236"/>
      <c r="K243" s="134"/>
      <c r="L243" s="129"/>
      <c r="M243" s="135"/>
      <c r="N243" s="141"/>
      <c r="O243" s="137"/>
      <c r="P243" s="135"/>
      <c r="Q243" s="138"/>
      <c r="R243" s="199"/>
      <c r="S243" s="198"/>
    </row>
    <row r="244" customFormat="false" ht="13.8" hidden="false" customHeight="false" outlineLevel="0" collapsed="false">
      <c r="A244" s="128"/>
      <c r="B244" s="128"/>
      <c r="C244" s="36"/>
      <c r="D244" s="139" t="s">
        <v>186</v>
      </c>
      <c r="E244" s="130" t="str">
        <f aca="false">IF(D244="","",VLOOKUP(D244,matriz_codigo_prezos,2,FALSE()))</f>
        <v>Determinación de compostos orgánicos UNE EN 1744-1 ou equivalente</v>
      </c>
      <c r="F244" s="131" t="n">
        <v>20000</v>
      </c>
      <c r="G244" s="129" t="s">
        <v>54</v>
      </c>
      <c r="H244" s="132" t="n">
        <v>1</v>
      </c>
      <c r="I244" s="232" t="n">
        <f aca="false">IF($A$235&gt;0,   ROUNDUP($A$235/F244,0), 0)</f>
        <v>0</v>
      </c>
      <c r="J244" s="233" t="s">
        <v>71</v>
      </c>
      <c r="K244" s="134" t="n">
        <f aca="false">$N$6</f>
        <v>0.3</v>
      </c>
      <c r="L244" s="129" t="n">
        <f aca="false">ROUNDUP(I244*H244*K244,0)</f>
        <v>0</v>
      </c>
      <c r="M244" s="135" t="n">
        <f aca="false">P244</f>
        <v>35</v>
      </c>
      <c r="N244" s="136" t="n">
        <f aca="false">ROUND(L244*M244,2)</f>
        <v>0</v>
      </c>
      <c r="O244" s="137" t="n">
        <f aca="false">INT(+I244*H244)</f>
        <v>0</v>
      </c>
      <c r="P244" s="135" t="n">
        <f aca="false">IF(D244="","",VLOOKUP(D244,matriz_codigo_prezos,6,FALSE()))</f>
        <v>35</v>
      </c>
      <c r="Q244" s="138" t="n">
        <f aca="false">IF(O244="","",ROUND(O244*P244,2))</f>
        <v>0</v>
      </c>
      <c r="R244" s="231" t="s">
        <v>174</v>
      </c>
      <c r="S244" s="198"/>
    </row>
    <row r="245" customFormat="false" ht="17.9" hidden="false" customHeight="false" outlineLevel="0" collapsed="false">
      <c r="A245" s="128"/>
      <c r="B245" s="128"/>
      <c r="C245" s="36"/>
      <c r="D245" s="139" t="s">
        <v>171</v>
      </c>
      <c r="E245" s="130" t="str">
        <f aca="false">IF(D245="","",VLOOKUP(D245,matriz_codigo_prezos,2,FALSE()))</f>
        <v>Contido ponderal en xofre total (S) e en sulfatos solubles (SO3) UNE EN 1744-1 ou equivalente</v>
      </c>
      <c r="F245" s="131" t="n">
        <v>20000</v>
      </c>
      <c r="G245" s="129" t="s">
        <v>54</v>
      </c>
      <c r="H245" s="132" t="n">
        <v>1</v>
      </c>
      <c r="I245" s="232" t="n">
        <f aca="false">IF($A$235&gt;0,   ROUNDUP($A$235/F245,0), 0)</f>
        <v>0</v>
      </c>
      <c r="J245" s="233" t="s">
        <v>71</v>
      </c>
      <c r="K245" s="134" t="n">
        <f aca="false">$N$6</f>
        <v>0.3</v>
      </c>
      <c r="L245" s="129" t="n">
        <f aca="false">ROUNDUP(I245*H245*K245,0)</f>
        <v>0</v>
      </c>
      <c r="M245" s="135" t="n">
        <f aca="false">P245</f>
        <v>353</v>
      </c>
      <c r="N245" s="136" t="n">
        <f aca="false">ROUND(L245*M245,2)</f>
        <v>0</v>
      </c>
      <c r="O245" s="137" t="n">
        <f aca="false">INT(+I245*H245)</f>
        <v>0</v>
      </c>
      <c r="P245" s="135" t="n">
        <f aca="false">IF(D245="","",VLOOKUP(D245,matriz_codigo_prezos,6,FALSE()))</f>
        <v>353</v>
      </c>
      <c r="Q245" s="138" t="n">
        <f aca="false">IF(O245="","",ROUND(O245*P245,2))</f>
        <v>0</v>
      </c>
      <c r="R245" s="231"/>
      <c r="S245" s="198"/>
    </row>
    <row r="246" customFormat="false" ht="13.8" hidden="false" customHeight="false" outlineLevel="0" collapsed="false">
      <c r="A246" s="128"/>
      <c r="B246" s="128"/>
      <c r="C246" s="36"/>
      <c r="D246" s="139" t="s">
        <v>154</v>
      </c>
      <c r="E246" s="130" t="str">
        <f aca="false">IF(D246="","",VLOOKUP(D246,matriz_codigo_prezos,2,FALSE()))</f>
        <v>Índice de laxas do árido groso UNE EN 933-3 ou equivalente</v>
      </c>
      <c r="F246" s="131" t="n">
        <v>20000</v>
      </c>
      <c r="G246" s="129" t="s">
        <v>54</v>
      </c>
      <c r="H246" s="132" t="n">
        <v>1</v>
      </c>
      <c r="I246" s="232" t="n">
        <f aca="false">IF($A$235&gt;0,   ROUNDUP($A$235/F246,0), 0)</f>
        <v>0</v>
      </c>
      <c r="J246" s="233" t="s">
        <v>71</v>
      </c>
      <c r="K246" s="134" t="n">
        <f aca="false">$N$6</f>
        <v>0.3</v>
      </c>
      <c r="L246" s="129" t="n">
        <f aca="false">ROUNDUP(I246*H246*K246,0)</f>
        <v>0</v>
      </c>
      <c r="M246" s="135" t="n">
        <f aca="false">P246</f>
        <v>66</v>
      </c>
      <c r="N246" s="136" t="n">
        <f aca="false">ROUND(L246*M246,2)</f>
        <v>0</v>
      </c>
      <c r="O246" s="137" t="n">
        <f aca="false">INT(+I246*H246)</f>
        <v>0</v>
      </c>
      <c r="P246" s="135" t="n">
        <f aca="false">IF(D246="","",VLOOKUP(D246,matriz_codigo_prezos,6,FALSE()))</f>
        <v>66</v>
      </c>
      <c r="Q246" s="138" t="n">
        <f aca="false">IF(O246="","",ROUND(O246*P246,2))</f>
        <v>0</v>
      </c>
      <c r="R246" s="231"/>
      <c r="S246" s="198"/>
    </row>
    <row r="247" customFormat="false" ht="13.8" hidden="false" customHeight="false" outlineLevel="0" collapsed="false">
      <c r="A247" s="128"/>
      <c r="B247" s="128"/>
      <c r="C247" s="36"/>
      <c r="D247" s="139" t="s">
        <v>155</v>
      </c>
      <c r="E247" s="130" t="str">
        <f aca="false">IF(D247="","",VLOOKUP(D247,matriz_codigo_prezos,2,FALSE()))</f>
        <v>Porcentaxe de caras de fractura do árido groso UNE EN 933-5 ou equivalente</v>
      </c>
      <c r="F247" s="131" t="n">
        <v>20000</v>
      </c>
      <c r="G247" s="129" t="s">
        <v>54</v>
      </c>
      <c r="H247" s="132" t="n">
        <v>1</v>
      </c>
      <c r="I247" s="232" t="n">
        <f aca="false">IF($A$235&gt;0,   ROUNDUP($A$235/F247,0), 0)</f>
        <v>0</v>
      </c>
      <c r="J247" s="233" t="s">
        <v>71</v>
      </c>
      <c r="K247" s="134" t="n">
        <f aca="false">$N$6</f>
        <v>0.3</v>
      </c>
      <c r="L247" s="129" t="n">
        <f aca="false">ROUNDUP(I247*H247*K247,0)</f>
        <v>0</v>
      </c>
      <c r="M247" s="135" t="n">
        <f aca="false">P247</f>
        <v>35</v>
      </c>
      <c r="N247" s="136" t="n">
        <f aca="false">ROUND(L247*M247,2)</f>
        <v>0</v>
      </c>
      <c r="O247" s="137" t="n">
        <f aca="false">INT(+I247*H247)</f>
        <v>0</v>
      </c>
      <c r="P247" s="135" t="n">
        <f aca="false">IF(D247="","",VLOOKUP(D247,matriz_codigo_prezos,6,FALSE()))</f>
        <v>35</v>
      </c>
      <c r="Q247" s="138" t="n">
        <f aca="false">IF(O247="","",ROUND(O247*P247,2))</f>
        <v>0</v>
      </c>
      <c r="R247" s="231"/>
      <c r="S247" s="198"/>
    </row>
    <row r="248" customFormat="false" ht="17.9" hidden="false" customHeight="false" outlineLevel="0" collapsed="false">
      <c r="A248" s="128"/>
      <c r="B248" s="128"/>
      <c r="C248" s="36"/>
      <c r="D248" s="139" t="s">
        <v>152</v>
      </c>
      <c r="E248" s="130" t="str">
        <f aca="false">IF(D248="","",VLOOKUP(D248,matriz_codigo_prezos,2,FALSE()))</f>
        <v>Resistencia á fragmentación Ensaio "Os Ánxeles" UNE EN 1097-2 ou equivalente</v>
      </c>
      <c r="F248" s="131" t="n">
        <v>20000</v>
      </c>
      <c r="G248" s="129" t="s">
        <v>54</v>
      </c>
      <c r="H248" s="132" t="n">
        <v>1</v>
      </c>
      <c r="I248" s="232" t="n">
        <f aca="false">IF($A$235&gt;0,   ROUNDUP($A$235/F248,0), 0)</f>
        <v>0</v>
      </c>
      <c r="J248" s="233" t="s">
        <v>71</v>
      </c>
      <c r="K248" s="134" t="n">
        <f aca="false">$N$6</f>
        <v>0.3</v>
      </c>
      <c r="L248" s="129" t="n">
        <f aca="false">ROUNDUP(I248*H248*K248,0)</f>
        <v>0</v>
      </c>
      <c r="M248" s="135" t="n">
        <f aca="false">P248</f>
        <v>104</v>
      </c>
      <c r="N248" s="136" t="n">
        <f aca="false">ROUND(L248*M248,2)</f>
        <v>0</v>
      </c>
      <c r="O248" s="137" t="n">
        <f aca="false">INT(+I248*H248)</f>
        <v>0</v>
      </c>
      <c r="P248" s="135" t="n">
        <f aca="false">IF(D248="","",VLOOKUP(D248,matriz_codigo_prezos,6,FALSE()))</f>
        <v>104</v>
      </c>
      <c r="Q248" s="138" t="n">
        <f aca="false">IF(O248="","",ROUND(O248*P248,2))</f>
        <v>0</v>
      </c>
      <c r="R248" s="203" t="s">
        <v>185</v>
      </c>
      <c r="S248" s="226"/>
    </row>
    <row r="249" customFormat="false" ht="13.8" hidden="false" customHeight="false" outlineLevel="0" collapsed="false">
      <c r="A249" s="106" t="s">
        <v>190</v>
      </c>
      <c r="B249" s="106"/>
      <c r="C249" s="106"/>
      <c r="D249" s="106"/>
      <c r="E249" s="107"/>
      <c r="F249" s="106"/>
      <c r="G249" s="108"/>
      <c r="H249" s="108"/>
      <c r="I249" s="240"/>
      <c r="J249" s="236"/>
      <c r="K249" s="134"/>
      <c r="L249" s="129"/>
      <c r="M249" s="135"/>
      <c r="N249" s="136"/>
      <c r="O249" s="137"/>
      <c r="P249" s="135"/>
      <c r="Q249" s="138"/>
      <c r="R249" s="224"/>
      <c r="S249" s="226"/>
    </row>
    <row r="250" customFormat="false" ht="58.95" hidden="false" customHeight="false" outlineLevel="0" collapsed="false">
      <c r="A250" s="115"/>
      <c r="B250" s="116" t="s">
        <v>68</v>
      </c>
      <c r="C250" s="148" t="s">
        <v>176</v>
      </c>
      <c r="D250" s="118"/>
      <c r="E250" s="119"/>
      <c r="F250" s="118"/>
      <c r="G250" s="120"/>
      <c r="H250" s="120"/>
      <c r="I250" s="120"/>
      <c r="J250" s="167"/>
      <c r="K250" s="229"/>
      <c r="L250" s="129"/>
      <c r="M250" s="135"/>
      <c r="N250" s="141"/>
      <c r="O250" s="137"/>
      <c r="P250" s="135"/>
      <c r="Q250" s="136"/>
      <c r="R250" s="197"/>
      <c r="S250" s="198"/>
    </row>
    <row r="251" customFormat="false" ht="26.1" hidden="false" customHeight="false" outlineLevel="0" collapsed="false">
      <c r="A251" s="128"/>
      <c r="B251" s="128"/>
      <c r="C251" s="36"/>
      <c r="D251" s="139" t="s">
        <v>70</v>
      </c>
      <c r="E251" s="130" t="str">
        <f aca="false">IF(D251="","",VLOOKUP(D251,matriz_codigo_prezos,2,FALSE()))</f>
        <v>Determinación da densidade "in situ", incluíndo humidade por medio de isótopos radiactivos (mínimo  10 determinacións) UNE 103900 ou equivalente</v>
      </c>
      <c r="F251" s="131" t="n">
        <v>3500</v>
      </c>
      <c r="G251" s="129" t="s">
        <v>68</v>
      </c>
      <c r="H251" s="132" t="n">
        <v>7</v>
      </c>
      <c r="I251" s="232" t="n">
        <f aca="false">IF($A$250&gt;0,   ROUNDUP($A$250/F251,0), 0)</f>
        <v>0</v>
      </c>
      <c r="J251" s="233" t="s">
        <v>71</v>
      </c>
      <c r="K251" s="134" t="n">
        <f aca="false">$N$6</f>
        <v>0.3</v>
      </c>
      <c r="L251" s="129" t="n">
        <f aca="false">IF(   ($A$250&lt;&gt;0),  MAX(10, ROUNDUP(I251*H251*K251,0) ),  0   )</f>
        <v>0</v>
      </c>
      <c r="M251" s="135" t="n">
        <f aca="false">P251</f>
        <v>28</v>
      </c>
      <c r="N251" s="136" t="n">
        <f aca="false">ROUND(L251*M251,2)</f>
        <v>0</v>
      </c>
      <c r="O251" s="129" t="n">
        <f aca="false">IF(   ($A$250&lt;&gt;0),  MAX(10, H251*I251 ),  0   )</f>
        <v>0</v>
      </c>
      <c r="P251" s="135" t="n">
        <f aca="false">IF(D251="","",VLOOKUP(D251,matriz_codigo_prezos,6,FALSE()))</f>
        <v>28</v>
      </c>
      <c r="Q251" s="138" t="n">
        <f aca="false">IF(O251="","",ROUND(O251*P251,2))</f>
        <v>0</v>
      </c>
      <c r="R251" s="203"/>
      <c r="S251" s="198"/>
    </row>
    <row r="252" customFormat="false" ht="17.9" hidden="false" customHeight="false" outlineLevel="0" collapsed="false">
      <c r="A252" s="128"/>
      <c r="B252" s="128"/>
      <c r="C252" s="36"/>
      <c r="D252" s="139" t="s">
        <v>124</v>
      </c>
      <c r="E252" s="130" t="str">
        <f aca="false">IF(D252="","",VLOOKUP(D252,matriz_codigo_prezos,2,FALSE()))</f>
        <v>Resistencia a compresión simple a 7 días (fabricación de 3 probetas) UNE EN 13286-41 ou equivalente, UNE-EN 13286-51 ou equivalente</v>
      </c>
      <c r="F252" s="131" t="n">
        <v>3500</v>
      </c>
      <c r="G252" s="129" t="s">
        <v>68</v>
      </c>
      <c r="H252" s="234" t="n">
        <f aca="false">IF(  cat_Tp &lt;2,  3, 2  )</f>
        <v>3</v>
      </c>
      <c r="I252" s="232" t="n">
        <f aca="false">IF($A$250&gt;0,   ROUNDUP($A$250/F252,0), 0)</f>
        <v>0</v>
      </c>
      <c r="J252" s="233" t="s">
        <v>71</v>
      </c>
      <c r="K252" s="134" t="n">
        <f aca="false">$N$6</f>
        <v>0.3</v>
      </c>
      <c r="L252" s="129" t="n">
        <f aca="false">ROUNDUP(I252*H252*K252,0)</f>
        <v>0</v>
      </c>
      <c r="M252" s="135" t="n">
        <f aca="false">P252</f>
        <v>125</v>
      </c>
      <c r="N252" s="136" t="n">
        <f aca="false">ROUND(L252*M252,2)</f>
        <v>0</v>
      </c>
      <c r="O252" s="137" t="n">
        <f aca="false">INT(I252*H252)</f>
        <v>0</v>
      </c>
      <c r="P252" s="135" t="n">
        <f aca="false">IF(D252="","",VLOOKUP(D252,matriz_codigo_prezos,6,FALSE()))</f>
        <v>125</v>
      </c>
      <c r="Q252" s="138" t="n">
        <f aca="false">IF(O252="","",ROUND(O252*P252,2))</f>
        <v>0</v>
      </c>
      <c r="R252" s="203" t="s">
        <v>177</v>
      </c>
      <c r="S252" s="198"/>
    </row>
    <row r="253" customFormat="false" ht="30.55" hidden="false" customHeight="false" outlineLevel="0" collapsed="false">
      <c r="A253" s="207" t="s">
        <v>191</v>
      </c>
      <c r="B253" s="106"/>
      <c r="C253" s="106"/>
      <c r="D253" s="207"/>
      <c r="E253" s="208" t="str">
        <f aca="false">IF(D253="","",VLOOKUP(D253,matriz_codigo_prezos,2,FALSE()))</f>
        <v/>
      </c>
      <c r="F253" s="207"/>
      <c r="G253" s="209"/>
      <c r="H253" s="209"/>
      <c r="I253" s="235"/>
      <c r="J253" s="236"/>
      <c r="K253" s="134"/>
      <c r="L253" s="129"/>
      <c r="M253" s="135"/>
      <c r="N253" s="136"/>
      <c r="O253" s="137"/>
      <c r="P253" s="135"/>
      <c r="Q253" s="138"/>
      <c r="R253" s="199"/>
      <c r="S253" s="198"/>
    </row>
    <row r="254" customFormat="false" ht="13.8" hidden="false" customHeight="false" outlineLevel="0" collapsed="false">
      <c r="A254" s="115"/>
      <c r="B254" s="116" t="s">
        <v>68</v>
      </c>
      <c r="C254" s="205" t="s">
        <v>127</v>
      </c>
      <c r="D254" s="139"/>
      <c r="E254" s="130"/>
      <c r="F254" s="131"/>
      <c r="G254" s="129"/>
      <c r="H254" s="132"/>
      <c r="I254" s="133"/>
      <c r="J254" s="167"/>
      <c r="K254" s="204"/>
      <c r="L254" s="129"/>
      <c r="M254" s="135"/>
      <c r="N254" s="136"/>
      <c r="O254" s="137"/>
      <c r="P254" s="135"/>
      <c r="Q254" s="136"/>
      <c r="R254" s="197"/>
      <c r="S254" s="198"/>
    </row>
    <row r="255" customFormat="false" ht="17.9" hidden="false" customHeight="false" outlineLevel="0" collapsed="false">
      <c r="A255" s="128"/>
      <c r="B255" s="128"/>
      <c r="C255" s="36"/>
      <c r="D255" s="139" t="s">
        <v>179</v>
      </c>
      <c r="E255" s="130" t="str">
        <f aca="false">IF(D255="","",VLOOKUP(D255,matriz_codigo_prezos,2,FALSE()))</f>
        <v>Extracción probeta-testemuña e determinación de densidade e espesor. Mínimo facturable 3 testemuñas</v>
      </c>
      <c r="F255" s="131" t="n">
        <v>3500</v>
      </c>
      <c r="G255" s="129" t="s">
        <v>68</v>
      </c>
      <c r="H255" s="157" t="n">
        <v>6</v>
      </c>
      <c r="I255" s="232" t="n">
        <f aca="false">IF($A$254&lt;&gt;0,   ROUNDUP($A$254/F255,0), 0)</f>
        <v>0</v>
      </c>
      <c r="J255" s="233" t="s">
        <v>71</v>
      </c>
      <c r="K255" s="134" t="n">
        <f aca="false">$N$6</f>
        <v>0.3</v>
      </c>
      <c r="L255" s="129" t="n">
        <f aca="false">IF(   ($A$254&lt;&gt;0),  MAX(3, ROUNDUP(I255*H255*K255,0) ),  0   )</f>
        <v>0</v>
      </c>
      <c r="M255" s="135" t="n">
        <f aca="false">P255</f>
        <v>69</v>
      </c>
      <c r="N255" s="136" t="n">
        <f aca="false">ROUND(L255*M255,2)</f>
        <v>0</v>
      </c>
      <c r="O255" s="129" t="n">
        <f aca="false">IF(   ($A$254&lt;&gt;0),  MAX(3, H255*I255 ),  0   )</f>
        <v>0</v>
      </c>
      <c r="P255" s="135" t="n">
        <f aca="false">IF(D255="","",VLOOKUP(D255,matriz_codigo_prezos,6,FALSE()))</f>
        <v>69</v>
      </c>
      <c r="Q255" s="138" t="n">
        <f aca="false">IF(O255="","",ROUND(O255*P255,2))</f>
        <v>0</v>
      </c>
      <c r="R255" s="203" t="s">
        <v>180</v>
      </c>
      <c r="S255" s="198"/>
    </row>
    <row r="256" customFormat="false" ht="13.8" hidden="false" customHeight="false" outlineLevel="0" collapsed="false">
      <c r="A256" s="115"/>
      <c r="B256" s="116" t="s">
        <v>135</v>
      </c>
      <c r="C256" s="205" t="s">
        <v>181</v>
      </c>
      <c r="D256" s="139"/>
      <c r="E256" s="130"/>
      <c r="F256" s="131"/>
      <c r="G256" s="129"/>
      <c r="H256" s="132"/>
      <c r="I256" s="133"/>
      <c r="J256" s="167"/>
      <c r="K256" s="204"/>
      <c r="L256" s="129"/>
      <c r="M256" s="135"/>
      <c r="N256" s="136"/>
      <c r="O256" s="137"/>
      <c r="P256" s="135"/>
      <c r="Q256" s="136"/>
      <c r="R256" s="197"/>
      <c r="S256" s="198"/>
    </row>
    <row r="257" customFormat="false" ht="26.1" hidden="false" customHeight="false" outlineLevel="0" collapsed="false">
      <c r="A257" s="128"/>
      <c r="B257" s="128"/>
      <c r="C257" s="36"/>
      <c r="D257" s="139" t="s">
        <v>138</v>
      </c>
      <c r="E257" s="130" t="str">
        <f aca="false">IF(D257="","",VLOOKUP(D257,matriz_codigo_prezos,2,FALSE()))</f>
        <v>Unidade de movilización e desprazamento de perfilómetro láser, e informe de cálculo do índice de regularidade internacional IRI en pavimentos de estradas, NLT-330 ou equivalente</v>
      </c>
      <c r="F257" s="139"/>
      <c r="G257" s="129" t="s">
        <v>139</v>
      </c>
      <c r="H257" s="157" t="n">
        <v>1</v>
      </c>
      <c r="I257" s="232" t="n">
        <f aca="false">IF(   AND( ISNUMBER(A256), A256&lt;&gt;0 ), 1,  0)</f>
        <v>0</v>
      </c>
      <c r="J257" s="233" t="s">
        <v>71</v>
      </c>
      <c r="K257" s="134" t="n">
        <v>1</v>
      </c>
      <c r="L257" s="129" t="n">
        <f aca="false">INT(I257*H257*K257)</f>
        <v>0</v>
      </c>
      <c r="M257" s="135" t="n">
        <f aca="false">P257</f>
        <v>2530</v>
      </c>
      <c r="N257" s="136" t="n">
        <f aca="false">ROUND(L257*M257,2)</f>
        <v>0</v>
      </c>
      <c r="O257" s="137" t="n">
        <v>0</v>
      </c>
      <c r="P257" s="135" t="n">
        <f aca="false">IF(D257="","",VLOOKUP(D257,matriz_codigo_prezos,6,FALSE()))</f>
        <v>2530</v>
      </c>
      <c r="Q257" s="138" t="n">
        <f aca="false">IF(O257="","",ROUND(O257*P257,2))</f>
        <v>0</v>
      </c>
      <c r="R257" s="199"/>
      <c r="S257" s="198"/>
    </row>
    <row r="258" customFormat="false" ht="13.8" hidden="false" customHeight="false" outlineLevel="0" collapsed="false">
      <c r="A258" s="230"/>
      <c r="B258" s="230"/>
      <c r="C258" s="211"/>
      <c r="D258" s="139" t="s">
        <v>141</v>
      </c>
      <c r="E258" s="130" t="str">
        <f aca="false">IF(D258="","",VLOOKUP(D258,matriz_codigo_prezos,2,FALSE()))</f>
        <v>Km. de medida con perfilómetro láser para cálculo de IRI</v>
      </c>
      <c r="F258" s="212" t="n">
        <v>1000</v>
      </c>
      <c r="G258" s="213" t="s">
        <v>135</v>
      </c>
      <c r="H258" s="220" t="n">
        <v>1</v>
      </c>
      <c r="I258" s="232" t="n">
        <f aca="false">IF($A$256&lt;&gt;0,   ROUNDUP($A$256/F258,0), 0)</f>
        <v>0</v>
      </c>
      <c r="J258" s="233" t="s">
        <v>71</v>
      </c>
      <c r="K258" s="239" t="n">
        <v>1</v>
      </c>
      <c r="L258" s="213" t="n">
        <f aca="false">ROUNDUP(I258*H258*K258,0)</f>
        <v>0</v>
      </c>
      <c r="M258" s="135" t="n">
        <f aca="false">P258</f>
        <v>17</v>
      </c>
      <c r="N258" s="136" t="n">
        <f aca="false">ROUND(L258*M258,2)</f>
        <v>0</v>
      </c>
      <c r="O258" s="137" t="n">
        <v>0</v>
      </c>
      <c r="P258" s="135" t="n">
        <f aca="false">IF(D258="","",VLOOKUP(D258,matriz_codigo_prezos,6,FALSE()))</f>
        <v>17</v>
      </c>
      <c r="Q258" s="138" t="n">
        <f aca="false">IF(O258="","",ROUND(O258*P258,2))</f>
        <v>0</v>
      </c>
      <c r="R258" s="199"/>
      <c r="S258" s="215"/>
      <c r="T258" s="210"/>
      <c r="V258" s="210"/>
      <c r="W258" s="210"/>
      <c r="X258" s="210"/>
      <c r="Y258" s="210"/>
      <c r="Z258" s="210"/>
      <c r="AA258" s="210"/>
      <c r="AB258" s="210"/>
      <c r="AC258" s="168"/>
      <c r="AD258" s="168"/>
      <c r="AE258" s="168"/>
      <c r="AF258" s="168"/>
      <c r="AG258" s="168"/>
      <c r="AH258" s="168"/>
      <c r="AI258" s="168"/>
      <c r="AJ258" s="168"/>
      <c r="AK258" s="168"/>
      <c r="AL258" s="168"/>
      <c r="AM258" s="168"/>
      <c r="AN258" s="168"/>
      <c r="AO258" s="168"/>
      <c r="AP258" s="168"/>
      <c r="AQ258" s="168"/>
      <c r="AR258" s="168"/>
      <c r="AS258" s="168"/>
      <c r="AT258" s="168"/>
      <c r="AU258" s="168"/>
      <c r="AV258" s="168"/>
      <c r="AW258" s="168"/>
      <c r="AX258" s="168"/>
      <c r="AY258" s="168"/>
      <c r="AZ258" s="168"/>
      <c r="BA258" s="168"/>
      <c r="BB258" s="168"/>
      <c r="BC258" s="168"/>
      <c r="BD258" s="168"/>
      <c r="BE258" s="168"/>
      <c r="BF258" s="168"/>
      <c r="BG258" s="168"/>
      <c r="BH258" s="168"/>
      <c r="BI258" s="168"/>
      <c r="BJ258" s="168"/>
      <c r="BK258" s="168"/>
      <c r="BL258" s="168"/>
    </row>
    <row r="259" customFormat="false" ht="13.8" hidden="false" customHeight="false" outlineLevel="0" collapsed="false">
      <c r="A259" s="128"/>
      <c r="B259" s="128"/>
      <c r="C259" s="73"/>
      <c r="D259" s="139"/>
      <c r="E259" s="130" t="str">
        <f aca="false">IF(D259="","",VLOOKUP(D259,matriz_codigo_prezos,2,FALSE()))</f>
        <v/>
      </c>
      <c r="F259" s="131"/>
      <c r="G259" s="129"/>
      <c r="H259" s="132"/>
      <c r="I259" s="232"/>
      <c r="J259" s="236"/>
      <c r="K259" s="134"/>
      <c r="L259" s="129"/>
      <c r="M259" s="135"/>
      <c r="N259" s="136"/>
      <c r="O259" s="137"/>
      <c r="P259" s="135"/>
      <c r="Q259" s="138"/>
      <c r="R259" s="199"/>
      <c r="S259" s="198"/>
    </row>
    <row r="260" s="36" customFormat="true" ht="15" hidden="false" customHeight="false" outlineLevel="0" collapsed="false">
      <c r="A260" s="82" t="s">
        <v>192</v>
      </c>
      <c r="B260" s="82"/>
      <c r="C260" s="82"/>
      <c r="D260" s="82"/>
      <c r="E260" s="83" t="str">
        <f aca="false">IF(D260="","",VLOOKUP(D260,matriz_codigo_prezos,2,FALSE()))</f>
        <v/>
      </c>
      <c r="F260" s="82"/>
      <c r="G260" s="84"/>
      <c r="H260" s="84"/>
      <c r="I260" s="84"/>
      <c r="J260" s="84"/>
      <c r="K260" s="84"/>
      <c r="L260" s="84"/>
      <c r="M260" s="84"/>
      <c r="N260" s="84"/>
      <c r="O260" s="84"/>
      <c r="P260" s="84"/>
      <c r="Q260" s="84"/>
      <c r="R260" s="190"/>
      <c r="S260" s="222"/>
      <c r="U260" s="152"/>
    </row>
    <row r="261" s="36" customFormat="true" ht="13.8" hidden="false" customHeight="false" outlineLevel="0" collapsed="false">
      <c r="A261" s="101" t="s">
        <v>193</v>
      </c>
      <c r="B261" s="101"/>
      <c r="C261" s="101"/>
      <c r="D261" s="101"/>
      <c r="E261" s="102" t="str">
        <f aca="false">IF(D261="","",VLOOKUP(D261,matriz_codigo_prezos,2,FALSE()))</f>
        <v/>
      </c>
      <c r="F261" s="101"/>
      <c r="G261" s="103"/>
      <c r="H261" s="103"/>
      <c r="I261" s="103"/>
      <c r="J261" s="103"/>
      <c r="K261" s="103"/>
      <c r="L261" s="103"/>
      <c r="M261" s="103"/>
      <c r="N261" s="103"/>
      <c r="O261" s="103"/>
      <c r="P261" s="103"/>
      <c r="Q261" s="103"/>
      <c r="R261" s="191"/>
      <c r="S261" s="222"/>
      <c r="U261" s="152"/>
    </row>
    <row r="262" customFormat="false" ht="67.15" hidden="false" customHeight="false" outlineLevel="0" collapsed="false">
      <c r="A262" s="115"/>
      <c r="B262" s="116" t="s">
        <v>194</v>
      </c>
      <c r="C262" s="148" t="s">
        <v>195</v>
      </c>
      <c r="D262" s="118"/>
      <c r="E262" s="119"/>
      <c r="F262" s="118"/>
      <c r="G262" s="120"/>
      <c r="H262" s="120"/>
      <c r="I262" s="120"/>
      <c r="J262" s="167"/>
      <c r="K262" s="143"/>
      <c r="L262" s="129"/>
      <c r="M262" s="135"/>
      <c r="N262" s="141"/>
      <c r="O262" s="137"/>
      <c r="P262" s="135"/>
      <c r="Q262" s="136"/>
      <c r="R262" s="197"/>
      <c r="S262" s="198"/>
    </row>
    <row r="263" customFormat="false" ht="13.8" hidden="false" customHeight="false" outlineLevel="0" collapsed="false">
      <c r="A263" s="128"/>
      <c r="B263" s="128"/>
      <c r="C263" s="36"/>
      <c r="D263" s="139" t="s">
        <v>196</v>
      </c>
      <c r="E263" s="130" t="str">
        <f aca="false">IF(D263="","",VLOOKUP(D263,matriz_codigo_prezos,2,FALSE()))</f>
        <v>Penetración de materiais bituminosos UNE EN 1426 ou equivalente</v>
      </c>
      <c r="F263" s="131" t="n">
        <v>300</v>
      </c>
      <c r="G263" s="129" t="s">
        <v>194</v>
      </c>
      <c r="H263" s="157" t="n">
        <v>1</v>
      </c>
      <c r="I263" s="232" t="n">
        <f aca="false">IF($A$262&lt;&gt;0,   ROUNDUP($A$262/F263,0), 0)</f>
        <v>0</v>
      </c>
      <c r="J263" s="233" t="s">
        <v>71</v>
      </c>
      <c r="K263" s="134" t="n">
        <f aca="false">$N$6</f>
        <v>0.3</v>
      </c>
      <c r="L263" s="213" t="n">
        <f aca="false">ROUNDUP(I263*H263*K263,0)</f>
        <v>0</v>
      </c>
      <c r="M263" s="135" t="n">
        <f aca="false">P263</f>
        <v>69</v>
      </c>
      <c r="N263" s="136" t="n">
        <f aca="false">ROUND(L263*M263,2)</f>
        <v>0</v>
      </c>
      <c r="O263" s="137" t="n">
        <f aca="false">INT(+I263*H263)</f>
        <v>0</v>
      </c>
      <c r="P263" s="135" t="n">
        <f aca="false">IF(D263="","",VLOOKUP(D263,matriz_codigo_prezos,6,FALSE()))</f>
        <v>69</v>
      </c>
      <c r="Q263" s="138" t="n">
        <f aca="false">IF(O263="","",ROUND(O263*P263,2))</f>
        <v>0</v>
      </c>
      <c r="R263" s="199"/>
      <c r="S263" s="198"/>
    </row>
    <row r="264" customFormat="false" ht="13.8" hidden="false" customHeight="false" outlineLevel="0" collapsed="false">
      <c r="A264" s="128"/>
      <c r="B264" s="128"/>
      <c r="C264" s="36"/>
      <c r="D264" s="139" t="s">
        <v>197</v>
      </c>
      <c r="E264" s="130" t="str">
        <f aca="false">IF(D264="","",VLOOKUP(D264,matriz_codigo_prezos,2,FALSE()))</f>
        <v>Punto de rebrandecemento anel e bola UNE EN 1427 ou equivalente</v>
      </c>
      <c r="F264" s="131" t="n">
        <f aca="false">F263</f>
        <v>300</v>
      </c>
      <c r="G264" s="129" t="s">
        <v>194</v>
      </c>
      <c r="H264" s="157" t="n">
        <v>1</v>
      </c>
      <c r="I264" s="232" t="n">
        <f aca="false">IF($A$262&lt;&gt;0,   ROUNDUP($A$262/F264,0), 0)</f>
        <v>0</v>
      </c>
      <c r="J264" s="233" t="s">
        <v>71</v>
      </c>
      <c r="K264" s="134" t="n">
        <f aca="false">$N$6</f>
        <v>0.3</v>
      </c>
      <c r="L264" s="213" t="n">
        <f aca="false">ROUNDUP(I264*H264*K264,0)</f>
        <v>0</v>
      </c>
      <c r="M264" s="135" t="n">
        <f aca="false">P264</f>
        <v>69</v>
      </c>
      <c r="N264" s="136" t="n">
        <f aca="false">ROUND(L264*M264,2)</f>
        <v>0</v>
      </c>
      <c r="O264" s="137" t="n">
        <f aca="false">INT(+I264*H264)</f>
        <v>0</v>
      </c>
      <c r="P264" s="135" t="n">
        <f aca="false">IF(D264="","",VLOOKUP(D264,matriz_codigo_prezos,6,FALSE()))</f>
        <v>69</v>
      </c>
      <c r="Q264" s="138" t="n">
        <f aca="false">IF(O264="","",ROUND(O264*P264,2))</f>
        <v>0</v>
      </c>
      <c r="R264" s="199"/>
      <c r="S264" s="198"/>
    </row>
    <row r="265" customFormat="false" ht="17.9" hidden="false" customHeight="false" outlineLevel="0" collapsed="false">
      <c r="A265" s="128"/>
      <c r="B265" s="128"/>
      <c r="C265" s="36"/>
      <c r="D265" s="139" t="s">
        <v>198</v>
      </c>
      <c r="E265" s="130" t="str">
        <f aca="false">IF(D265="","",VLOOKUP(D265,matriz_codigo_prezos,2,FALSE()))</f>
        <v>Índice de penetración UNE EN 12591 (Anejo A), UNE EN 13924 ou equivalente</v>
      </c>
      <c r="F265" s="131" t="n">
        <f aca="false">F263</f>
        <v>300</v>
      </c>
      <c r="G265" s="129" t="s">
        <v>194</v>
      </c>
      <c r="H265" s="157" t="n">
        <v>1</v>
      </c>
      <c r="I265" s="232" t="n">
        <f aca="false">IF($A$262&lt;&gt;0,   ROUNDUP($A$262/F265,0), 0)</f>
        <v>0</v>
      </c>
      <c r="J265" s="233" t="s">
        <v>71</v>
      </c>
      <c r="K265" s="134" t="n">
        <f aca="false">$N$6</f>
        <v>0.3</v>
      </c>
      <c r="L265" s="213" t="n">
        <f aca="false">ROUNDUP(I265*H265*K265,0)</f>
        <v>0</v>
      </c>
      <c r="M265" s="135" t="n">
        <f aca="false">P265</f>
        <v>22</v>
      </c>
      <c r="N265" s="136" t="n">
        <f aca="false">ROUND(L265*M265,2)</f>
        <v>0</v>
      </c>
      <c r="O265" s="137" t="n">
        <f aca="false">INT(+I265*H265)</f>
        <v>0</v>
      </c>
      <c r="P265" s="135" t="n">
        <f aca="false">IF(D265="","",VLOOKUP(D265,matriz_codigo_prezos,6,FALSE()))</f>
        <v>22</v>
      </c>
      <c r="Q265" s="138" t="n">
        <f aca="false">IF(O265="","",ROUND(O265*P265,2))</f>
        <v>0</v>
      </c>
      <c r="R265" s="199"/>
      <c r="S265" s="198"/>
    </row>
    <row r="266" customFormat="false" ht="13.8" hidden="false" customHeight="false" outlineLevel="0" collapsed="false">
      <c r="C266" s="73"/>
      <c r="D266" s="139"/>
      <c r="E266" s="130" t="str">
        <f aca="false">IF(D266="","",VLOOKUP(D266,matriz_codigo_prezos,2,FALSE()))</f>
        <v/>
      </c>
      <c r="F266" s="25"/>
      <c r="G266" s="121"/>
      <c r="H266" s="121"/>
      <c r="I266" s="232"/>
      <c r="J266" s="236"/>
      <c r="K266" s="159"/>
      <c r="L266" s="129"/>
      <c r="M266" s="135"/>
      <c r="N266" s="136"/>
      <c r="O266" s="137"/>
      <c r="P266" s="135"/>
      <c r="Q266" s="138"/>
      <c r="R266" s="199"/>
      <c r="S266" s="198"/>
    </row>
    <row r="267" s="36" customFormat="true" ht="13.8" hidden="false" customHeight="false" outlineLevel="0" collapsed="false">
      <c r="A267" s="101" t="s">
        <v>199</v>
      </c>
      <c r="B267" s="101"/>
      <c r="C267" s="101"/>
      <c r="D267" s="101"/>
      <c r="E267" s="102" t="str">
        <f aca="false">IF(D267="","",VLOOKUP(D267,matriz_codigo_prezos,2,FALSE()))</f>
        <v/>
      </c>
      <c r="F267" s="101"/>
      <c r="G267" s="103"/>
      <c r="H267" s="103"/>
      <c r="I267" s="103"/>
      <c r="J267" s="103"/>
      <c r="K267" s="103"/>
      <c r="L267" s="103"/>
      <c r="M267" s="103"/>
      <c r="N267" s="103"/>
      <c r="O267" s="103"/>
      <c r="P267" s="103"/>
      <c r="Q267" s="103"/>
      <c r="R267" s="191"/>
      <c r="S267" s="222"/>
      <c r="U267" s="152"/>
    </row>
    <row r="268" customFormat="false" ht="67.15" hidden="false" customHeight="false" outlineLevel="0" collapsed="false">
      <c r="A268" s="115"/>
      <c r="B268" s="116" t="s">
        <v>194</v>
      </c>
      <c r="C268" s="148" t="s">
        <v>195</v>
      </c>
      <c r="D268" s="118"/>
      <c r="E268" s="119"/>
      <c r="F268" s="118"/>
      <c r="G268" s="120"/>
      <c r="H268" s="120"/>
      <c r="I268" s="120"/>
      <c r="J268" s="167"/>
      <c r="K268" s="143"/>
      <c r="L268" s="129"/>
      <c r="M268" s="135"/>
      <c r="N268" s="141"/>
      <c r="O268" s="137"/>
      <c r="P268" s="135"/>
      <c r="Q268" s="136"/>
      <c r="R268" s="197"/>
      <c r="S268" s="198"/>
    </row>
    <row r="269" customFormat="false" ht="13.8" hidden="false" customHeight="false" outlineLevel="0" collapsed="false">
      <c r="A269" s="128"/>
      <c r="B269" s="128"/>
      <c r="C269" s="36"/>
      <c r="D269" s="139" t="s">
        <v>196</v>
      </c>
      <c r="E269" s="130" t="str">
        <f aca="false">IF(D269="","",VLOOKUP(D269,matriz_codigo_prezos,2,FALSE()))</f>
        <v>Penetración de materiais bituminosos UNE EN 1426 ou equivalente</v>
      </c>
      <c r="F269" s="131" t="n">
        <v>300</v>
      </c>
      <c r="G269" s="129" t="s">
        <v>194</v>
      </c>
      <c r="H269" s="157" t="n">
        <v>1</v>
      </c>
      <c r="I269" s="232" t="n">
        <f aca="false">IF($A$268&lt;&gt;0,   ROUNDUP($A$268/F269,0), 0)</f>
        <v>0</v>
      </c>
      <c r="J269" s="233" t="s">
        <v>71</v>
      </c>
      <c r="K269" s="134" t="n">
        <f aca="false">$N$6</f>
        <v>0.3</v>
      </c>
      <c r="L269" s="213" t="n">
        <f aca="false">ROUNDUP(I269*H269*K269,0)</f>
        <v>0</v>
      </c>
      <c r="M269" s="135" t="n">
        <f aca="false">P269</f>
        <v>69</v>
      </c>
      <c r="N269" s="136" t="n">
        <f aca="false">ROUND(L269*M269,2)</f>
        <v>0</v>
      </c>
      <c r="O269" s="137" t="n">
        <f aca="false">INT(+I269*H269)</f>
        <v>0</v>
      </c>
      <c r="P269" s="135" t="n">
        <f aca="false">IF(D269="","",VLOOKUP(D269,matriz_codigo_prezos,6,FALSE()))</f>
        <v>69</v>
      </c>
      <c r="Q269" s="138" t="n">
        <f aca="false">IF(O269="","",ROUND(O269*P269,2))</f>
        <v>0</v>
      </c>
      <c r="R269" s="199"/>
      <c r="S269" s="198"/>
    </row>
    <row r="270" customFormat="false" ht="13.8" hidden="false" customHeight="false" outlineLevel="0" collapsed="false">
      <c r="A270" s="128"/>
      <c r="B270" s="128"/>
      <c r="C270" s="36"/>
      <c r="D270" s="139" t="s">
        <v>197</v>
      </c>
      <c r="E270" s="130" t="str">
        <f aca="false">IF(D270="","",VLOOKUP(D270,matriz_codigo_prezos,2,FALSE()))</f>
        <v>Punto de rebrandecemento anel e bola UNE EN 1427 ou equivalente</v>
      </c>
      <c r="F270" s="131" t="n">
        <f aca="false">F269</f>
        <v>300</v>
      </c>
      <c r="G270" s="129" t="s">
        <v>194</v>
      </c>
      <c r="H270" s="157" t="n">
        <v>1</v>
      </c>
      <c r="I270" s="232" t="n">
        <f aca="false">IF($A$268&lt;&gt;0,   ROUNDUP($A$268/F270,0), 0)</f>
        <v>0</v>
      </c>
      <c r="J270" s="233" t="s">
        <v>71</v>
      </c>
      <c r="K270" s="134" t="n">
        <f aca="false">$N$6</f>
        <v>0.3</v>
      </c>
      <c r="L270" s="213" t="n">
        <f aca="false">ROUNDUP(I270*H270*K270,0)</f>
        <v>0</v>
      </c>
      <c r="M270" s="135" t="n">
        <f aca="false">P270</f>
        <v>69</v>
      </c>
      <c r="N270" s="136" t="n">
        <f aca="false">ROUND(L270*M270,2)</f>
        <v>0</v>
      </c>
      <c r="O270" s="137" t="n">
        <f aca="false">INT(+I270*H270)</f>
        <v>0</v>
      </c>
      <c r="P270" s="135" t="n">
        <f aca="false">IF(D270="","",VLOOKUP(D270,matriz_codigo_prezos,6,FALSE()))</f>
        <v>69</v>
      </c>
      <c r="Q270" s="138" t="n">
        <f aca="false">IF(O270="","",ROUND(O270*P270,2))</f>
        <v>0</v>
      </c>
      <c r="R270" s="199"/>
      <c r="S270" s="198"/>
    </row>
    <row r="271" customFormat="false" ht="13.8" hidden="false" customHeight="false" outlineLevel="0" collapsed="false">
      <c r="A271" s="128"/>
      <c r="B271" s="128"/>
      <c r="C271" s="36"/>
      <c r="D271" s="139" t="s">
        <v>200</v>
      </c>
      <c r="E271" s="130" t="str">
        <f aca="false">IF(D271="","",VLOOKUP(D271,matriz_codigo_prezos,2,FALSE()))</f>
        <v>Recuperación elástica dun betume modificado UNE EN 13398 ou equivalente</v>
      </c>
      <c r="F271" s="131" t="n">
        <v>300</v>
      </c>
      <c r="G271" s="129" t="s">
        <v>194</v>
      </c>
      <c r="H271" s="157" t="n">
        <v>1</v>
      </c>
      <c r="I271" s="232" t="n">
        <f aca="false">IF($A$268&lt;&gt;0,   ROUNDUP($A$268/F271,0), 0)</f>
        <v>0</v>
      </c>
      <c r="J271" s="233" t="s">
        <v>71</v>
      </c>
      <c r="K271" s="134" t="n">
        <f aca="false">$N$6</f>
        <v>0.3</v>
      </c>
      <c r="L271" s="213" t="n">
        <f aca="false">ROUNDUP(I271*H271*K271,0)</f>
        <v>0</v>
      </c>
      <c r="M271" s="135" t="n">
        <f aca="false">P271</f>
        <v>150</v>
      </c>
      <c r="N271" s="136" t="n">
        <f aca="false">ROUND(L271*M271,2)</f>
        <v>0</v>
      </c>
      <c r="O271" s="137" t="n">
        <f aca="false">INT(+I271*H271)</f>
        <v>0</v>
      </c>
      <c r="P271" s="135" t="n">
        <f aca="false">IF(D271="","",VLOOKUP(D271,matriz_codigo_prezos,6,FALSE()))</f>
        <v>150</v>
      </c>
      <c r="Q271" s="138" t="n">
        <f aca="false">IF(O271="","",ROUND(O271*P271,2))</f>
        <v>0</v>
      </c>
      <c r="R271" s="199"/>
      <c r="S271" s="198"/>
    </row>
    <row r="272" customFormat="false" ht="13.8" hidden="false" customHeight="false" outlineLevel="0" collapsed="false">
      <c r="C272" s="73"/>
      <c r="D272" s="139"/>
      <c r="E272" s="130" t="str">
        <f aca="false">IF(D272="","",VLOOKUP(D272,matriz_codigo_prezos,2,FALSE()))</f>
        <v/>
      </c>
      <c r="F272" s="25"/>
      <c r="G272" s="121"/>
      <c r="H272" s="121"/>
      <c r="I272" s="232"/>
      <c r="J272" s="236"/>
      <c r="K272" s="159"/>
      <c r="L272" s="129"/>
      <c r="M272" s="135"/>
      <c r="N272" s="136"/>
      <c r="O272" s="137"/>
      <c r="P272" s="135"/>
      <c r="Q272" s="138"/>
      <c r="R272" s="199"/>
      <c r="S272" s="198"/>
    </row>
    <row r="273" s="36" customFormat="true" ht="13.8" hidden="false" customHeight="false" outlineLevel="0" collapsed="false">
      <c r="A273" s="101" t="s">
        <v>201</v>
      </c>
      <c r="B273" s="101"/>
      <c r="C273" s="101"/>
      <c r="D273" s="101"/>
      <c r="E273" s="102" t="str">
        <f aca="false">IF(D273="","",VLOOKUP(D273,matriz_codigo_prezos,2,FALSE()))</f>
        <v/>
      </c>
      <c r="F273" s="101"/>
      <c r="G273" s="103"/>
      <c r="H273" s="103"/>
      <c r="I273" s="103"/>
      <c r="J273" s="103"/>
      <c r="K273" s="103"/>
      <c r="L273" s="103"/>
      <c r="M273" s="103"/>
      <c r="N273" s="103"/>
      <c r="O273" s="103"/>
      <c r="P273" s="103"/>
      <c r="Q273" s="103"/>
      <c r="R273" s="191"/>
      <c r="S273" s="222"/>
      <c r="U273" s="152"/>
    </row>
    <row r="274" customFormat="false" ht="157.45" hidden="false" customHeight="false" outlineLevel="0" collapsed="false">
      <c r="A274" s="115"/>
      <c r="B274" s="116" t="s">
        <v>194</v>
      </c>
      <c r="C274" s="148" t="s">
        <v>202</v>
      </c>
      <c r="D274" s="118"/>
      <c r="E274" s="119"/>
      <c r="F274" s="118"/>
      <c r="G274" s="120"/>
      <c r="H274" s="120"/>
      <c r="I274" s="120"/>
      <c r="J274" s="167"/>
      <c r="K274" s="143"/>
      <c r="L274" s="129"/>
      <c r="M274" s="135"/>
      <c r="N274" s="141"/>
      <c r="O274" s="137"/>
      <c r="P274" s="135"/>
      <c r="Q274" s="136"/>
      <c r="R274" s="197"/>
      <c r="S274" s="198"/>
    </row>
    <row r="275" customFormat="false" ht="13.8" hidden="false" customHeight="false" outlineLevel="0" collapsed="false">
      <c r="A275" s="230"/>
      <c r="B275" s="128"/>
      <c r="C275" s="36"/>
      <c r="D275" s="139" t="s">
        <v>203</v>
      </c>
      <c r="E275" s="130" t="str">
        <f aca="false">IF(D275="","",VLOOKUP(D275,matriz_codigo_prezos,2,FALSE()))</f>
        <v>Carga de partículas das emulsións bituminosas UNE EN 1430 ou equivalente</v>
      </c>
      <c r="F275" s="131" t="n">
        <v>30</v>
      </c>
      <c r="G275" s="129" t="s">
        <v>194</v>
      </c>
      <c r="H275" s="157" t="n">
        <v>1</v>
      </c>
      <c r="I275" s="232" t="n">
        <f aca="false">IF($A$274="",0,IF(($A$274/F275)&gt;1,ROUNDUP($A$274/F275,0), 1))</f>
        <v>0</v>
      </c>
      <c r="J275" s="236"/>
      <c r="K275" s="134" t="n">
        <f aca="false">$N$6</f>
        <v>0.3</v>
      </c>
      <c r="L275" s="129" t="n">
        <f aca="false">IF(O275=0,0,ROUNDUP(O275*K275,0))</f>
        <v>0</v>
      </c>
      <c r="M275" s="135" t="n">
        <f aca="false">P275</f>
        <v>37</v>
      </c>
      <c r="N275" s="136" t="n">
        <f aca="false">ROUND(L275*M275,2)</f>
        <v>0</v>
      </c>
      <c r="O275" s="137" t="n">
        <f aca="false">INT(+I275*H275)</f>
        <v>0</v>
      </c>
      <c r="P275" s="135" t="n">
        <f aca="false">IF(D275="","",VLOOKUP(D275,matriz_codigo_prezos,6,FALSE()))</f>
        <v>37</v>
      </c>
      <c r="Q275" s="138" t="n">
        <f aca="false">IF(O275="","",ROUND(O275*P275,2))</f>
        <v>0</v>
      </c>
      <c r="R275" s="199"/>
      <c r="S275" s="198"/>
    </row>
    <row r="276" customFormat="false" ht="13.8" hidden="false" customHeight="false" outlineLevel="0" collapsed="false">
      <c r="A276" s="128"/>
      <c r="B276" s="128"/>
      <c r="C276" s="36"/>
      <c r="D276" s="139" t="s">
        <v>204</v>
      </c>
      <c r="E276" s="130" t="str">
        <f aca="false">IF(D276="","",VLOOKUP(D276,matriz_codigo_prezos,2,FALSE()))</f>
        <v>Índice de rotura UNE EN 13075-1 ou equivalente</v>
      </c>
      <c r="F276" s="131" t="n">
        <v>30</v>
      </c>
      <c r="G276" s="129" t="s">
        <v>194</v>
      </c>
      <c r="H276" s="157" t="n">
        <v>1</v>
      </c>
      <c r="I276" s="232" t="n">
        <f aca="false">IF($A$274="",0,IF(($A$274/F276)&gt;1,ROUNDUP($A$274/F276,0), 1))</f>
        <v>0</v>
      </c>
      <c r="J276" s="236"/>
      <c r="K276" s="134" t="n">
        <f aca="false">$N$6</f>
        <v>0.3</v>
      </c>
      <c r="L276" s="129" t="n">
        <f aca="false">IF(O276=0,0,ROUNDUP(O276*K276,0))</f>
        <v>0</v>
      </c>
      <c r="M276" s="135" t="n">
        <f aca="false">P276</f>
        <v>60</v>
      </c>
      <c r="N276" s="136" t="n">
        <f aca="false">ROUND(L276*M276,2)</f>
        <v>0</v>
      </c>
      <c r="O276" s="137" t="n">
        <f aca="false">INT(+I276*H276)</f>
        <v>0</v>
      </c>
      <c r="P276" s="135" t="n">
        <f aca="false">IF(D276="","",VLOOKUP(D276,matriz_codigo_prezos,6,FALSE()))</f>
        <v>60</v>
      </c>
      <c r="Q276" s="138" t="n">
        <f aca="false">IF(O276="","",ROUND(O276*P276,2))</f>
        <v>0</v>
      </c>
      <c r="R276" s="199"/>
      <c r="S276" s="198"/>
    </row>
    <row r="277" customFormat="false" ht="13.8" hidden="false" customHeight="false" outlineLevel="0" collapsed="false">
      <c r="A277" s="128"/>
      <c r="B277" s="128"/>
      <c r="C277" s="36"/>
      <c r="D277" s="139" t="s">
        <v>205</v>
      </c>
      <c r="E277" s="130" t="str">
        <f aca="false">IF(D277="","",VLOOKUP(D277,matriz_codigo_prezos,2,FALSE()))</f>
        <v>Contido en auga en emulsións bituminosas UNE EN 1428 ou equivalente</v>
      </c>
      <c r="F277" s="131" t="n">
        <v>30</v>
      </c>
      <c r="G277" s="129" t="s">
        <v>194</v>
      </c>
      <c r="H277" s="157" t="n">
        <v>1</v>
      </c>
      <c r="I277" s="232" t="n">
        <f aca="false">IF($A$274="",0,IF(($A$274/F277)&gt;1,ROUNDUP($A$274/F277,0), 1))</f>
        <v>0</v>
      </c>
      <c r="J277" s="236"/>
      <c r="K277" s="134" t="n">
        <f aca="false">$N$6</f>
        <v>0.3</v>
      </c>
      <c r="L277" s="129" t="n">
        <f aca="false">IF(O277=0,0,ROUNDUP(O277*K277,0))</f>
        <v>0</v>
      </c>
      <c r="M277" s="135" t="n">
        <f aca="false">P277</f>
        <v>75</v>
      </c>
      <c r="N277" s="136" t="n">
        <f aca="false">ROUND(L277*M277,2)</f>
        <v>0</v>
      </c>
      <c r="O277" s="137" t="n">
        <f aca="false">INT(+I277*H277)</f>
        <v>0</v>
      </c>
      <c r="P277" s="135" t="n">
        <f aca="false">IF(D277="","",VLOOKUP(D277,matriz_codigo_prezos,6,FALSE()))</f>
        <v>75</v>
      </c>
      <c r="Q277" s="138" t="n">
        <f aca="false">IF(O277="","",ROUND(O277*P277,2))</f>
        <v>0</v>
      </c>
      <c r="R277" s="199"/>
      <c r="S277" s="198"/>
    </row>
    <row r="278" customFormat="false" ht="13.8" hidden="false" customHeight="false" outlineLevel="0" collapsed="false">
      <c r="A278" s="128"/>
      <c r="B278" s="128"/>
      <c r="C278" s="36"/>
      <c r="D278" s="139" t="s">
        <v>206</v>
      </c>
      <c r="E278" s="130" t="str">
        <f aca="false">IF(D278="","",VLOOKUP(D278,matriz_codigo_prezos,2,FALSE()))</f>
        <v>Tamizado das emulsións bituminosas UNE EN 1429 ou equivalente</v>
      </c>
      <c r="F278" s="131" t="n">
        <v>30</v>
      </c>
      <c r="G278" s="129" t="s">
        <v>194</v>
      </c>
      <c r="H278" s="157" t="n">
        <v>1</v>
      </c>
      <c r="I278" s="232" t="n">
        <f aca="false">IF($A$274="",0,IF(($A$274/F278)&gt;1,ROUNDUP($A$274/F278,0), 1))</f>
        <v>0</v>
      </c>
      <c r="J278" s="236"/>
      <c r="K278" s="134" t="n">
        <f aca="false">$N$6</f>
        <v>0.3</v>
      </c>
      <c r="L278" s="129" t="n">
        <f aca="false">IF(O278=0,0,ROUNDUP(O278*K278,0))</f>
        <v>0</v>
      </c>
      <c r="M278" s="135" t="n">
        <f aca="false">P278</f>
        <v>41</v>
      </c>
      <c r="N278" s="136" t="n">
        <f aca="false">ROUND(L278*M278,2)</f>
        <v>0</v>
      </c>
      <c r="O278" s="137" t="n">
        <f aca="false">INT(+I278*H278)</f>
        <v>0</v>
      </c>
      <c r="P278" s="135" t="n">
        <f aca="false">IF(D278="","",VLOOKUP(D278,matriz_codigo_prezos,6,FALSE()))</f>
        <v>41</v>
      </c>
      <c r="Q278" s="138" t="n">
        <f aca="false">IF(O278="","",ROUND(O278*P278,2))</f>
        <v>0</v>
      </c>
      <c r="R278" s="199"/>
      <c r="S278" s="198"/>
    </row>
    <row r="279" customFormat="false" ht="13.8" hidden="false" customHeight="false" outlineLevel="0" collapsed="false">
      <c r="A279" s="128"/>
      <c r="B279" s="128"/>
      <c r="C279" s="73"/>
      <c r="D279" s="139"/>
      <c r="E279" s="130" t="str">
        <f aca="false">IF(D279="","",VLOOKUP(D279,matriz_codigo_prezos,2,FALSE()))</f>
        <v/>
      </c>
      <c r="F279" s="131"/>
      <c r="G279" s="129"/>
      <c r="H279" s="157"/>
      <c r="I279" s="232"/>
      <c r="J279" s="236"/>
      <c r="K279" s="134"/>
      <c r="L279" s="129"/>
      <c r="M279" s="135"/>
      <c r="N279" s="136"/>
      <c r="O279" s="137"/>
      <c r="P279" s="135"/>
      <c r="Q279" s="138"/>
      <c r="R279" s="199"/>
      <c r="S279" s="198"/>
    </row>
    <row r="280" s="36" customFormat="true" ht="13.8" hidden="false" customHeight="false" outlineLevel="0" collapsed="false">
      <c r="A280" s="101" t="s">
        <v>207</v>
      </c>
      <c r="B280" s="101"/>
      <c r="C280" s="101"/>
      <c r="D280" s="101"/>
      <c r="E280" s="102" t="str">
        <f aca="false">IF(D280="","",VLOOKUP(D280,matriz_codigo_prezos,2,FALSE()))</f>
        <v/>
      </c>
      <c r="F280" s="101"/>
      <c r="G280" s="103"/>
      <c r="H280" s="103"/>
      <c r="I280" s="103"/>
      <c r="J280" s="103"/>
      <c r="K280" s="103"/>
      <c r="L280" s="103"/>
      <c r="M280" s="103"/>
      <c r="N280" s="103"/>
      <c r="O280" s="103"/>
      <c r="P280" s="103"/>
      <c r="Q280" s="103"/>
      <c r="R280" s="191"/>
      <c r="S280" s="222"/>
      <c r="U280" s="152"/>
    </row>
    <row r="281" customFormat="false" ht="58.95" hidden="false" customHeight="false" outlineLevel="0" collapsed="false">
      <c r="A281" s="115"/>
      <c r="B281" s="116" t="s">
        <v>68</v>
      </c>
      <c r="C281" s="148" t="s">
        <v>208</v>
      </c>
      <c r="D281" s="118"/>
      <c r="E281" s="119"/>
      <c r="F281" s="118"/>
      <c r="G281" s="120"/>
      <c r="H281" s="120"/>
      <c r="I281" s="120"/>
      <c r="J281" s="167"/>
      <c r="K281" s="143"/>
      <c r="L281" s="129"/>
      <c r="M281" s="135"/>
      <c r="N281" s="141"/>
      <c r="O281" s="137"/>
      <c r="P281" s="135"/>
      <c r="Q281" s="136"/>
      <c r="R281" s="197"/>
      <c r="S281" s="198"/>
    </row>
    <row r="282" customFormat="false" ht="17.9" hidden="false" customHeight="false" outlineLevel="0" collapsed="false">
      <c r="A282" s="230"/>
      <c r="B282" s="128"/>
      <c r="C282" s="36"/>
      <c r="D282" s="139" t="s">
        <v>209</v>
      </c>
      <c r="E282" s="130" t="str">
        <f aca="false">IF(D282="","",VLOOKUP(D282,matriz_codigo_prezos,2,FALSE()))</f>
        <v>Toma de mostra sobre 3 bandexas e determinación da dotación media de ligante residual.</v>
      </c>
      <c r="F282" s="131" t="n">
        <v>3500</v>
      </c>
      <c r="G282" s="129" t="s">
        <v>68</v>
      </c>
      <c r="H282" s="157" t="n">
        <v>1</v>
      </c>
      <c r="I282" s="232" t="n">
        <f aca="false">IF($A$281&lt;&gt;0,   ROUNDUP($A$281/F282,0), 0)</f>
        <v>0</v>
      </c>
      <c r="J282" s="233" t="s">
        <v>71</v>
      </c>
      <c r="K282" s="134" t="n">
        <f aca="false">$N$6</f>
        <v>0.3</v>
      </c>
      <c r="L282" s="129" t="n">
        <f aca="false">ROUNDUP(I282*H282*K282,0)</f>
        <v>0</v>
      </c>
      <c r="M282" s="135" t="n">
        <f aca="false">P282</f>
        <v>219</v>
      </c>
      <c r="N282" s="136" t="n">
        <f aca="false">ROUND(L282*M282,2)</f>
        <v>0</v>
      </c>
      <c r="O282" s="137" t="n">
        <f aca="false">H282*I282</f>
        <v>0</v>
      </c>
      <c r="P282" s="135" t="n">
        <f aca="false">IF(D282="","",VLOOKUP(D282,matriz_codigo_prezos,6,FALSE()))</f>
        <v>219</v>
      </c>
      <c r="Q282" s="138" t="n">
        <f aca="false">IF(O282="","",ROUND(O282*P282,2))</f>
        <v>0</v>
      </c>
      <c r="R282" s="199"/>
      <c r="S282" s="198"/>
    </row>
    <row r="283" customFormat="false" ht="13.8" hidden="false" customHeight="false" outlineLevel="0" collapsed="false">
      <c r="A283" s="128"/>
      <c r="B283" s="128"/>
      <c r="C283" s="73"/>
      <c r="D283" s="139"/>
      <c r="E283" s="130" t="str">
        <f aca="false">IF(D283="","",VLOOKUP(D283,matriz_codigo_prezos,2,FALSE()))</f>
        <v/>
      </c>
      <c r="F283" s="131"/>
      <c r="G283" s="129"/>
      <c r="H283" s="157"/>
      <c r="I283" s="232"/>
      <c r="J283" s="236"/>
      <c r="K283" s="134"/>
      <c r="L283" s="129"/>
      <c r="M283" s="135"/>
      <c r="N283" s="136"/>
      <c r="O283" s="137"/>
      <c r="P283" s="135"/>
      <c r="Q283" s="138"/>
      <c r="R283" s="199"/>
      <c r="S283" s="198"/>
    </row>
    <row r="284" s="36" customFormat="true" ht="12.8" hidden="false" customHeight="false" outlineLevel="0" collapsed="false">
      <c r="A284" s="101" t="s">
        <v>210</v>
      </c>
      <c r="B284" s="101"/>
      <c r="C284" s="101"/>
      <c r="D284" s="101"/>
      <c r="E284" s="102" t="str">
        <f aca="false">IF(D284="","",VLOOKUP(D284,matriz_codigo_prezos,2,FALSE()))</f>
        <v/>
      </c>
      <c r="F284" s="101"/>
      <c r="G284" s="103"/>
      <c r="H284" s="103"/>
      <c r="I284" s="103"/>
      <c r="J284" s="103"/>
      <c r="K284" s="103"/>
      <c r="L284" s="103"/>
      <c r="M284" s="103"/>
      <c r="N284" s="103"/>
      <c r="O284" s="103"/>
      <c r="P284" s="103"/>
      <c r="Q284" s="103"/>
      <c r="R284" s="191"/>
      <c r="S284" s="222"/>
      <c r="U284" s="152"/>
    </row>
    <row r="285" s="36" customFormat="true" ht="12.8" hidden="false" customHeight="false" outlineLevel="0" collapsed="false">
      <c r="A285" s="106" t="s">
        <v>211</v>
      </c>
      <c r="B285" s="106"/>
      <c r="C285" s="106"/>
      <c r="D285" s="106"/>
      <c r="E285" s="107"/>
      <c r="F285" s="106"/>
      <c r="G285" s="108"/>
      <c r="H285" s="108"/>
      <c r="I285" s="240"/>
      <c r="J285" s="236"/>
      <c r="K285" s="241"/>
      <c r="L285" s="135"/>
      <c r="M285" s="135"/>
      <c r="N285" s="136"/>
      <c r="O285" s="133"/>
      <c r="P285" s="135"/>
      <c r="Q285" s="138"/>
      <c r="R285" s="224"/>
      <c r="S285" s="222"/>
      <c r="U285" s="152"/>
    </row>
    <row r="286" customFormat="false" ht="75.35" hidden="false" customHeight="false" outlineLevel="0" collapsed="false">
      <c r="A286" s="115"/>
      <c r="B286" s="116" t="s">
        <v>167</v>
      </c>
      <c r="C286" s="148" t="s">
        <v>212</v>
      </c>
      <c r="D286" s="118"/>
      <c r="E286" s="119"/>
      <c r="F286" s="118"/>
      <c r="G286" s="120"/>
      <c r="H286" s="120"/>
      <c r="I286" s="120"/>
      <c r="J286" s="167"/>
      <c r="K286" s="143"/>
      <c r="L286" s="129"/>
      <c r="M286" s="135"/>
      <c r="N286" s="141"/>
      <c r="O286" s="137"/>
      <c r="P286" s="135"/>
      <c r="Q286" s="136"/>
      <c r="R286" s="197"/>
      <c r="S286" s="198"/>
    </row>
    <row r="287" customFormat="false" ht="13.8" hidden="false" customHeight="false" outlineLevel="0" collapsed="false">
      <c r="A287" s="128"/>
      <c r="B287" s="128"/>
      <c r="C287" s="205" t="s">
        <v>213</v>
      </c>
      <c r="D287" s="139"/>
      <c r="E287" s="130"/>
      <c r="F287" s="244"/>
      <c r="G287" s="129"/>
      <c r="H287" s="157"/>
      <c r="I287" s="232"/>
      <c r="J287" s="236"/>
      <c r="K287" s="228"/>
      <c r="L287" s="129"/>
      <c r="M287" s="135"/>
      <c r="N287" s="141"/>
      <c r="O287" s="137"/>
      <c r="P287" s="135"/>
      <c r="Q287" s="138"/>
      <c r="R287" s="199"/>
      <c r="S287" s="198"/>
    </row>
    <row r="288" customFormat="false" ht="17.9" hidden="false" customHeight="false" outlineLevel="0" collapsed="false">
      <c r="A288" s="128"/>
      <c r="B288" s="128"/>
      <c r="C288" s="36"/>
      <c r="D288" s="139" t="s">
        <v>152</v>
      </c>
      <c r="E288" s="130" t="str">
        <f aca="false">IF(D288="","",VLOOKUP(D288,matriz_codigo_prezos,2,FALSE()))</f>
        <v>Resistencia á fragmentación Ensaio "Os Ánxeles" UNE EN 1097-2 ou equivalente</v>
      </c>
      <c r="F288" s="131" t="n">
        <v>1</v>
      </c>
      <c r="G288" s="133" t="s">
        <v>169</v>
      </c>
      <c r="H288" s="132" t="n">
        <v>4</v>
      </c>
      <c r="I288" s="232" t="n">
        <f aca="false">IF(  ISNUMBER( $A$286 ), ROUNDUP( $A$286,0), 0  )</f>
        <v>0</v>
      </c>
      <c r="J288" s="233" t="s">
        <v>71</v>
      </c>
      <c r="K288" s="134" t="n">
        <f aca="false">$N$6</f>
        <v>0.3</v>
      </c>
      <c r="L288" s="129" t="n">
        <f aca="false">ROUNDUP(I288*H288*K288,0)</f>
        <v>0</v>
      </c>
      <c r="M288" s="135" t="n">
        <f aca="false">P288</f>
        <v>104</v>
      </c>
      <c r="N288" s="136" t="n">
        <f aca="false">ROUND(L288*M288,2)</f>
        <v>0</v>
      </c>
      <c r="O288" s="137" t="n">
        <f aca="false">H288*I288</f>
        <v>0</v>
      </c>
      <c r="P288" s="135" t="n">
        <f aca="false">IF(D288="","",VLOOKUP(D288,matriz_codigo_prezos,6,FALSE()))</f>
        <v>104</v>
      </c>
      <c r="Q288" s="138" t="n">
        <f aca="false">IF(O288="","",ROUND(O288*P288,2))</f>
        <v>0</v>
      </c>
      <c r="R288" s="231" t="s">
        <v>174</v>
      </c>
      <c r="S288" s="226"/>
    </row>
    <row r="289" customFormat="false" ht="17.9" hidden="false" customHeight="false" outlineLevel="0" collapsed="false">
      <c r="A289" s="128"/>
      <c r="B289" s="128"/>
      <c r="C289" s="36"/>
      <c r="D289" s="139" t="s">
        <v>214</v>
      </c>
      <c r="E289" s="130" t="str">
        <f aca="false">IF(D289="","",VLOOKUP(D289,matriz_codigo_prezos,2,FALSE()))</f>
        <v>Coeficiente de Pulido Acelerado C.P.A. do árido groso UNE EN 1097-8 ou equivalente</v>
      </c>
      <c r="F289" s="131" t="n">
        <v>1</v>
      </c>
      <c r="G289" s="133" t="s">
        <v>169</v>
      </c>
      <c r="H289" s="132" t="n">
        <v>4</v>
      </c>
      <c r="I289" s="232" t="n">
        <f aca="false">IF(  ISNUMBER( $A$286 ), ROUNDUP( $A$286,0), 0  )</f>
        <v>0</v>
      </c>
      <c r="J289" s="233" t="s">
        <v>71</v>
      </c>
      <c r="K289" s="134" t="n">
        <f aca="false">$N$6</f>
        <v>0.3</v>
      </c>
      <c r="L289" s="129" t="n">
        <f aca="false">ROUNDUP(I289*H289*K289,0)</f>
        <v>0</v>
      </c>
      <c r="M289" s="135" t="n">
        <f aca="false">P289</f>
        <v>644</v>
      </c>
      <c r="N289" s="136" t="n">
        <f aca="false">ROUND(L289*M289,2)</f>
        <v>0</v>
      </c>
      <c r="O289" s="137" t="n">
        <f aca="false">H289*I289</f>
        <v>0</v>
      </c>
      <c r="P289" s="135" t="n">
        <f aca="false">IF(D289="","",VLOOKUP(D289,matriz_codigo_prezos,6,FALSE()))</f>
        <v>644</v>
      </c>
      <c r="Q289" s="138" t="n">
        <f aca="false">IF(O289="","",ROUND(O289*P289,2))</f>
        <v>0</v>
      </c>
      <c r="R289" s="231"/>
      <c r="S289" s="198"/>
    </row>
    <row r="290" customFormat="false" ht="17.9" hidden="false" customHeight="false" outlineLevel="0" collapsed="false">
      <c r="A290" s="128"/>
      <c r="B290" s="128"/>
      <c r="C290" s="36"/>
      <c r="D290" s="139" t="s">
        <v>215</v>
      </c>
      <c r="E290" s="130" t="str">
        <f aca="false">IF(D290="","",VLOOKUP(D290,matriz_codigo_prezos,2,FALSE()))</f>
        <v>Densidade relativa e absorción do árido groso UNE EN 1097-6 ou equivalente</v>
      </c>
      <c r="F290" s="131" t="n">
        <v>1</v>
      </c>
      <c r="G290" s="133" t="s">
        <v>169</v>
      </c>
      <c r="H290" s="132" t="n">
        <f aca="false">4*3</f>
        <v>12</v>
      </c>
      <c r="I290" s="232" t="n">
        <f aca="false">IF(  ISNUMBER( $A$286 ), ROUNDUP( $A$286,0), 0  )</f>
        <v>0</v>
      </c>
      <c r="J290" s="233" t="s">
        <v>71</v>
      </c>
      <c r="K290" s="134" t="n">
        <f aca="false">$N$6</f>
        <v>0.3</v>
      </c>
      <c r="L290" s="129" t="n">
        <f aca="false">ROUNDUP(I290*H290*K290,0)</f>
        <v>0</v>
      </c>
      <c r="M290" s="135" t="n">
        <f aca="false">P290</f>
        <v>50</v>
      </c>
      <c r="N290" s="136" t="n">
        <f aca="false">ROUND(L290*M290,2)</f>
        <v>0</v>
      </c>
      <c r="O290" s="137" t="n">
        <f aca="false">H290*I290</f>
        <v>0</v>
      </c>
      <c r="P290" s="135" t="n">
        <f aca="false">IF(D290="","",VLOOKUP(D290,matriz_codigo_prezos,6,FALSE()))</f>
        <v>50</v>
      </c>
      <c r="Q290" s="138" t="n">
        <f aca="false">IF(O290="","",ROUND(O290*P290,2))</f>
        <v>0</v>
      </c>
      <c r="R290" s="231" t="s">
        <v>216</v>
      </c>
      <c r="S290" s="198"/>
    </row>
    <row r="291" customFormat="false" ht="17.9" hidden="false" customHeight="false" outlineLevel="0" collapsed="false">
      <c r="A291" s="128"/>
      <c r="B291" s="128"/>
      <c r="C291" s="36"/>
      <c r="D291" s="139" t="s">
        <v>217</v>
      </c>
      <c r="E291" s="130" t="str">
        <f aca="false">IF(D291="","",VLOOKUP(D291,matriz_codigo_prezos,2,FALSE()))</f>
        <v>Análise granulométrica por tamizado (solos UNE 103101 ou equivalente) (aridos UNE EN 933-1 ou equivalente)</v>
      </c>
      <c r="F291" s="131" t="n">
        <v>1</v>
      </c>
      <c r="G291" s="133" t="s">
        <v>169</v>
      </c>
      <c r="H291" s="132" t="n">
        <f aca="false">3*4</f>
        <v>12</v>
      </c>
      <c r="I291" s="232" t="n">
        <f aca="false">IF(  ISNUMBER( $A$286 ), ROUNDUP( $A$286,0), 0  )</f>
        <v>0</v>
      </c>
      <c r="J291" s="233" t="s">
        <v>71</v>
      </c>
      <c r="K291" s="134" t="n">
        <f aca="false">$N$6</f>
        <v>0.3</v>
      </c>
      <c r="L291" s="129" t="n">
        <f aca="false">ROUNDUP(I291*H291*K291,0)</f>
        <v>0</v>
      </c>
      <c r="M291" s="135" t="n">
        <f aca="false">P291</f>
        <v>44</v>
      </c>
      <c r="N291" s="136" t="n">
        <f aca="false">ROUND(L291*M291,2)</f>
        <v>0</v>
      </c>
      <c r="O291" s="137" t="n">
        <f aca="false">H291*I291</f>
        <v>0</v>
      </c>
      <c r="P291" s="135" t="n">
        <f aca="false">IF(D291="","",VLOOKUP(D291,matriz_codigo_prezos,6,FALSE()))</f>
        <v>44</v>
      </c>
      <c r="Q291" s="138" t="n">
        <f aca="false">IF(O291="","",ROUND(O291*P291,2))</f>
        <v>0</v>
      </c>
      <c r="R291" s="231"/>
      <c r="S291" s="198"/>
    </row>
    <row r="292" customFormat="false" ht="13.8" hidden="false" customHeight="false" outlineLevel="0" collapsed="false">
      <c r="A292" s="128"/>
      <c r="B292" s="128"/>
      <c r="C292" s="36"/>
      <c r="D292" s="139" t="s">
        <v>155</v>
      </c>
      <c r="E292" s="130" t="str">
        <f aca="false">IF(D292="","",VLOOKUP(D292,matriz_codigo_prezos,2,FALSE()))</f>
        <v>Porcentaxe de caras de fractura do árido groso UNE EN 933-5 ou equivalente</v>
      </c>
      <c r="F292" s="131" t="n">
        <v>1</v>
      </c>
      <c r="G292" s="133" t="s">
        <v>169</v>
      </c>
      <c r="H292" s="132" t="n">
        <f aca="false">3*4</f>
        <v>12</v>
      </c>
      <c r="I292" s="232" t="n">
        <f aca="false">IF(  ISNUMBER( $A$286 ), ROUNDUP( $A$286,0), 0  )</f>
        <v>0</v>
      </c>
      <c r="J292" s="233" t="s">
        <v>71</v>
      </c>
      <c r="K292" s="134" t="n">
        <f aca="false">$N$6</f>
        <v>0.3</v>
      </c>
      <c r="L292" s="129" t="n">
        <f aca="false">ROUNDUP(I292*H292*K292,0)</f>
        <v>0</v>
      </c>
      <c r="M292" s="135" t="n">
        <f aca="false">P292</f>
        <v>35</v>
      </c>
      <c r="N292" s="136" t="n">
        <f aca="false">ROUND(L292*M292,2)</f>
        <v>0</v>
      </c>
      <c r="O292" s="137" t="n">
        <f aca="false">H292*I292</f>
        <v>0</v>
      </c>
      <c r="P292" s="135" t="n">
        <f aca="false">IF(D292="","",VLOOKUP(D292,matriz_codigo_prezos,6,FALSE()))</f>
        <v>35</v>
      </c>
      <c r="Q292" s="138" t="n">
        <f aca="false">IF(O292="","",ROUND(O292*P292,2))</f>
        <v>0</v>
      </c>
      <c r="R292" s="231"/>
      <c r="S292" s="198"/>
    </row>
    <row r="293" customFormat="false" ht="17.9" hidden="false" customHeight="false" outlineLevel="0" collapsed="false">
      <c r="A293" s="128"/>
      <c r="B293" s="128"/>
      <c r="C293" s="36"/>
      <c r="D293" s="139" t="s">
        <v>218</v>
      </c>
      <c r="E293" s="130" t="str">
        <f aca="false">IF(D293="","",VLOOKUP(D293,matriz_codigo_prezos,2,FALSE()))</f>
        <v>Limpeza superficial. Contido de impurezas do árido groso UNE EN 146130 ou equivalente; Anexo C</v>
      </c>
      <c r="F293" s="131" t="n">
        <v>1</v>
      </c>
      <c r="G293" s="133" t="s">
        <v>169</v>
      </c>
      <c r="H293" s="132" t="n">
        <f aca="false">3*4</f>
        <v>12</v>
      </c>
      <c r="I293" s="232" t="n">
        <f aca="false">IF(  ISNUMBER( $A$286 ), ROUNDUP( $A$286,0), 0  )</f>
        <v>0</v>
      </c>
      <c r="J293" s="233" t="s">
        <v>71</v>
      </c>
      <c r="K293" s="134" t="n">
        <f aca="false">$N$6</f>
        <v>0.3</v>
      </c>
      <c r="L293" s="129" t="n">
        <f aca="false">ROUNDUP(I293*H293*K293,0)</f>
        <v>0</v>
      </c>
      <c r="M293" s="135" t="n">
        <f aca="false">P293</f>
        <v>33</v>
      </c>
      <c r="N293" s="136" t="n">
        <f aca="false">ROUND(L293*M293,2)</f>
        <v>0</v>
      </c>
      <c r="O293" s="137" t="n">
        <f aca="false">H293*I293</f>
        <v>0</v>
      </c>
      <c r="P293" s="135" t="n">
        <f aca="false">IF(D293="","",VLOOKUP(D293,matriz_codigo_prezos,6,FALSE()))</f>
        <v>33</v>
      </c>
      <c r="Q293" s="138" t="n">
        <f aca="false">IF(O293="","",ROUND(O293*P293,2))</f>
        <v>0</v>
      </c>
      <c r="R293" s="231"/>
      <c r="S293" s="198"/>
    </row>
    <row r="294" customFormat="false" ht="13.8" hidden="false" customHeight="false" outlineLevel="0" collapsed="false">
      <c r="A294" s="128"/>
      <c r="B294" s="128"/>
      <c r="C294" s="36"/>
      <c r="D294" s="139" t="s">
        <v>154</v>
      </c>
      <c r="E294" s="130" t="str">
        <f aca="false">IF(D294="","",VLOOKUP(D294,matriz_codigo_prezos,2,FALSE()))</f>
        <v>Índice de laxas do árido groso UNE EN 933-3 ou equivalente</v>
      </c>
      <c r="F294" s="131" t="n">
        <v>1</v>
      </c>
      <c r="G294" s="133" t="s">
        <v>169</v>
      </c>
      <c r="H294" s="132" t="n">
        <f aca="false">3*4</f>
        <v>12</v>
      </c>
      <c r="I294" s="232" t="n">
        <f aca="false">IF(  ISNUMBER( $A$286 ), ROUNDUP( $A$286,0), 0  )</f>
        <v>0</v>
      </c>
      <c r="J294" s="233" t="s">
        <v>71</v>
      </c>
      <c r="K294" s="134" t="n">
        <f aca="false">$N$6</f>
        <v>0.3</v>
      </c>
      <c r="L294" s="129" t="n">
        <f aca="false">ROUNDUP(I294*H294*K294,0)</f>
        <v>0</v>
      </c>
      <c r="M294" s="135" t="n">
        <f aca="false">P294</f>
        <v>66</v>
      </c>
      <c r="N294" s="136" t="n">
        <f aca="false">ROUND(L294*M294,2)</f>
        <v>0</v>
      </c>
      <c r="O294" s="137" t="n">
        <f aca="false">H294*I294</f>
        <v>0</v>
      </c>
      <c r="P294" s="135" t="n">
        <f aca="false">IF(D294="","",VLOOKUP(D294,matriz_codigo_prezos,6,FALSE()))</f>
        <v>66</v>
      </c>
      <c r="Q294" s="138" t="n">
        <f aca="false">IF(O294="","",ROUND(O294*P294,2))</f>
        <v>0</v>
      </c>
      <c r="R294" s="231"/>
      <c r="S294" s="198"/>
    </row>
    <row r="295" customFormat="false" ht="13.8" hidden="false" customHeight="false" outlineLevel="0" collapsed="false">
      <c r="A295" s="128"/>
      <c r="B295" s="128"/>
      <c r="C295" s="205" t="s">
        <v>219</v>
      </c>
      <c r="D295" s="139"/>
      <c r="E295" s="130"/>
      <c r="F295" s="244"/>
      <c r="G295" s="129"/>
      <c r="H295" s="157"/>
      <c r="I295" s="232"/>
      <c r="J295" s="236"/>
      <c r="K295" s="228"/>
      <c r="L295" s="129"/>
      <c r="M295" s="135"/>
      <c r="N295" s="141"/>
      <c r="O295" s="137"/>
      <c r="P295" s="135"/>
      <c r="Q295" s="138"/>
      <c r="R295" s="199"/>
      <c r="S295" s="198"/>
    </row>
    <row r="296" customFormat="false" ht="17.9" hidden="false" customHeight="false" outlineLevel="0" collapsed="false">
      <c r="A296" s="128"/>
      <c r="B296" s="128"/>
      <c r="C296" s="36"/>
      <c r="D296" s="139" t="s">
        <v>220</v>
      </c>
      <c r="E296" s="130" t="str">
        <f aca="false">IF(D296="","",VLOOKUP(D296,matriz_codigo_prezos,2,FALSE()))</f>
        <v>Densidade relativa e absorción do árido fino UNE EN 1097-6 ou equivalente</v>
      </c>
      <c r="F296" s="131" t="n">
        <v>1</v>
      </c>
      <c r="G296" s="133" t="s">
        <v>169</v>
      </c>
      <c r="H296" s="132" t="n">
        <f aca="false">4*2</f>
        <v>8</v>
      </c>
      <c r="I296" s="232" t="n">
        <f aca="false">IF(  ISNUMBER( $A$286 ), ROUNDUP( $A$286,0), 0  )</f>
        <v>0</v>
      </c>
      <c r="J296" s="233" t="s">
        <v>71</v>
      </c>
      <c r="K296" s="134" t="n">
        <f aca="false">$N$6</f>
        <v>0.3</v>
      </c>
      <c r="L296" s="129" t="n">
        <f aca="false">ROUNDUP(I296*H296*K296,0)</f>
        <v>0</v>
      </c>
      <c r="M296" s="135" t="n">
        <f aca="false">P296</f>
        <v>63</v>
      </c>
      <c r="N296" s="136" t="n">
        <f aca="false">ROUND(L296*M296,2)</f>
        <v>0</v>
      </c>
      <c r="O296" s="137" t="n">
        <f aca="false">H296*I296</f>
        <v>0</v>
      </c>
      <c r="P296" s="135" t="n">
        <f aca="false">IF(D296="","",VLOOKUP(D296,matriz_codigo_prezos,6,FALSE()))</f>
        <v>63</v>
      </c>
      <c r="Q296" s="138" t="n">
        <f aca="false">IF(O296="","",ROUND(O296*P296,2))</f>
        <v>0</v>
      </c>
      <c r="R296" s="231" t="s">
        <v>221</v>
      </c>
      <c r="S296" s="198"/>
    </row>
    <row r="297" customFormat="false" ht="17.9" hidden="false" customHeight="false" outlineLevel="0" collapsed="false">
      <c r="A297" s="128"/>
      <c r="B297" s="128"/>
      <c r="C297" s="36"/>
      <c r="D297" s="139" t="s">
        <v>217</v>
      </c>
      <c r="E297" s="130" t="str">
        <f aca="false">IF(D297="","",VLOOKUP(D297,matriz_codigo_prezos,2,FALSE()))</f>
        <v>Análise granulométrica por tamizado (solos UNE 103101 ou equivalente) (aridos UNE EN 933-1 ou equivalente)</v>
      </c>
      <c r="F297" s="131" t="n">
        <v>1</v>
      </c>
      <c r="G297" s="133" t="s">
        <v>169</v>
      </c>
      <c r="H297" s="132" t="n">
        <f aca="false">4*2</f>
        <v>8</v>
      </c>
      <c r="I297" s="232" t="n">
        <f aca="false">IF(  ISNUMBER( $A$286 ), ROUNDUP( $A$286,0), 0  )</f>
        <v>0</v>
      </c>
      <c r="J297" s="233" t="s">
        <v>71</v>
      </c>
      <c r="K297" s="134" t="n">
        <f aca="false">$N$6</f>
        <v>0.3</v>
      </c>
      <c r="L297" s="129" t="n">
        <f aca="false">ROUNDUP(I297*H297*K297,0)</f>
        <v>0</v>
      </c>
      <c r="M297" s="135" t="n">
        <f aca="false">P297</f>
        <v>44</v>
      </c>
      <c r="N297" s="136" t="n">
        <f aca="false">ROUND(L297*M297,2)</f>
        <v>0</v>
      </c>
      <c r="O297" s="137" t="n">
        <f aca="false">H297*I297</f>
        <v>0</v>
      </c>
      <c r="P297" s="135" t="n">
        <f aca="false">IF(D297="","",VLOOKUP(D297,matriz_codigo_prezos,6,FALSE()))</f>
        <v>44</v>
      </c>
      <c r="Q297" s="138" t="n">
        <f aca="false">IF(O297="","",ROUND(O297*P297,2))</f>
        <v>0</v>
      </c>
      <c r="R297" s="231"/>
      <c r="S297" s="198"/>
    </row>
    <row r="298" customFormat="false" ht="13.8" hidden="false" customHeight="false" outlineLevel="0" collapsed="false">
      <c r="A298" s="128"/>
      <c r="B298" s="128"/>
      <c r="C298" s="36"/>
      <c r="D298" s="129" t="s">
        <v>222</v>
      </c>
      <c r="E298" s="130" t="str">
        <f aca="false">IF(D298="","",VLOOKUP(D298,matriz_codigo_prezos,2,FALSE()))</f>
        <v>Equivalente de Area UNE EN 933-8 ou equivalente (Anexo A)</v>
      </c>
      <c r="F298" s="131" t="n">
        <v>1</v>
      </c>
      <c r="G298" s="133" t="s">
        <v>169</v>
      </c>
      <c r="H298" s="132" t="n">
        <f aca="false">4*2</f>
        <v>8</v>
      </c>
      <c r="I298" s="232" t="n">
        <f aca="false">IF(  ISNUMBER( $A$286 ), ROUNDUP( $A$286,0), 0  )</f>
        <v>0</v>
      </c>
      <c r="J298" s="233" t="s">
        <v>71</v>
      </c>
      <c r="K298" s="134" t="n">
        <f aca="false">$N$6</f>
        <v>0.3</v>
      </c>
      <c r="L298" s="129" t="n">
        <f aca="false">ROUNDUP(I298*H298*K298,0)</f>
        <v>0</v>
      </c>
      <c r="M298" s="135" t="n">
        <f aca="false">P298</f>
        <v>51</v>
      </c>
      <c r="N298" s="136" t="n">
        <f aca="false">ROUND(L298*M298,2)</f>
        <v>0</v>
      </c>
      <c r="O298" s="137" t="n">
        <f aca="false">H298*I298</f>
        <v>0</v>
      </c>
      <c r="P298" s="135" t="n">
        <f aca="false">IF(D298="","",VLOOKUP(D298,matriz_codigo_prezos,6,FALSE()))</f>
        <v>51</v>
      </c>
      <c r="Q298" s="138" t="n">
        <f aca="false">IF(O298="","",ROUND(O298*P298,2))</f>
        <v>0</v>
      </c>
      <c r="R298" s="231"/>
      <c r="S298" s="198"/>
    </row>
    <row r="299" customFormat="false" ht="13.8" hidden="false" customHeight="false" outlineLevel="0" collapsed="false">
      <c r="A299" s="128"/>
      <c r="B299" s="128"/>
      <c r="C299" s="205" t="s">
        <v>223</v>
      </c>
      <c r="D299" s="139"/>
      <c r="E299" s="130"/>
      <c r="F299" s="244"/>
      <c r="G299" s="129"/>
      <c r="H299" s="157"/>
      <c r="I299" s="232"/>
      <c r="J299" s="236"/>
      <c r="K299" s="228"/>
      <c r="L299" s="129"/>
      <c r="M299" s="135"/>
      <c r="N299" s="141"/>
      <c r="O299" s="137"/>
      <c r="P299" s="135"/>
      <c r="Q299" s="138"/>
      <c r="R299" s="199"/>
      <c r="S299" s="198"/>
    </row>
    <row r="300" customFormat="false" ht="13.8" hidden="false" customHeight="false" outlineLevel="0" collapsed="false">
      <c r="A300" s="128"/>
      <c r="B300" s="128"/>
      <c r="C300" s="36"/>
      <c r="D300" s="139" t="s">
        <v>224</v>
      </c>
      <c r="E300" s="130" t="str">
        <f aca="false">IF(D300="","",VLOOKUP(D300,matriz_codigo_prezos,2,FALSE()))</f>
        <v>Densidade aparente do po mineral UNE EN 1097-3 ou equivalente Anexo A</v>
      </c>
      <c r="F300" s="131" t="n">
        <v>1</v>
      </c>
      <c r="G300" s="133" t="s">
        <v>169</v>
      </c>
      <c r="H300" s="132" t="n">
        <v>4</v>
      </c>
      <c r="I300" s="232" t="n">
        <f aca="false">IF(  ISNUMBER( $A$286 ), ROUNDUP( $A$286,0), 0  )</f>
        <v>0</v>
      </c>
      <c r="J300" s="233" t="s">
        <v>71</v>
      </c>
      <c r="K300" s="134" t="n">
        <f aca="false">$N$6</f>
        <v>0.3</v>
      </c>
      <c r="L300" s="129" t="n">
        <f aca="false">ROUNDUP(I300*H300*K300,0)</f>
        <v>0</v>
      </c>
      <c r="M300" s="135" t="n">
        <f aca="false">P300</f>
        <v>30</v>
      </c>
      <c r="N300" s="136" t="n">
        <f aca="false">ROUND(L300*M300,2)</f>
        <v>0</v>
      </c>
      <c r="O300" s="137" t="n">
        <f aca="false">H300*I300</f>
        <v>0</v>
      </c>
      <c r="P300" s="135" t="n">
        <f aca="false">IF(D300="","",VLOOKUP(D300,matriz_codigo_prezos,6,FALSE()))</f>
        <v>30</v>
      </c>
      <c r="Q300" s="138" t="n">
        <f aca="false">IF(O300="","",ROUND(O300*P300,2))</f>
        <v>0</v>
      </c>
      <c r="R300" s="231" t="s">
        <v>225</v>
      </c>
      <c r="S300" s="198"/>
    </row>
    <row r="301" customFormat="false" ht="13.8" hidden="false" customHeight="false" outlineLevel="0" collapsed="false">
      <c r="A301" s="128"/>
      <c r="B301" s="128"/>
      <c r="C301" s="36"/>
      <c r="D301" s="139" t="s">
        <v>226</v>
      </c>
      <c r="E301" s="130" t="str">
        <f aca="false">IF(D301="","",VLOOKUP(D301,matriz_codigo_prezos,2,FALSE()))</f>
        <v>Análise granulométrica do po mineral UNE EN 933-10 ou equivalente</v>
      </c>
      <c r="F301" s="131" t="n">
        <v>1</v>
      </c>
      <c r="G301" s="133" t="s">
        <v>169</v>
      </c>
      <c r="H301" s="132" t="n">
        <v>4</v>
      </c>
      <c r="I301" s="232" t="n">
        <f aca="false">IF(  ISNUMBER( $A$286 ), ROUNDUP( $A$286,0), 0  )</f>
        <v>0</v>
      </c>
      <c r="J301" s="233" t="s">
        <v>71</v>
      </c>
      <c r="K301" s="134" t="n">
        <f aca="false">$N$6</f>
        <v>0.3</v>
      </c>
      <c r="L301" s="129" t="n">
        <f aca="false">ROUNDUP(I301*H301*K301,0)</f>
        <v>0</v>
      </c>
      <c r="M301" s="135" t="n">
        <f aca="false">P301</f>
        <v>52</v>
      </c>
      <c r="N301" s="136" t="n">
        <f aca="false">ROUND(L301*M301,2)</f>
        <v>0</v>
      </c>
      <c r="O301" s="137" t="n">
        <f aca="false">H301*I301</f>
        <v>0</v>
      </c>
      <c r="P301" s="135" t="n">
        <f aca="false">IF(D301="","",VLOOKUP(D301,matriz_codigo_prezos,6,FALSE()))</f>
        <v>52</v>
      </c>
      <c r="Q301" s="138" t="n">
        <f aca="false">IF(O301="","",ROUND(O301*P301,2))</f>
        <v>0</v>
      </c>
      <c r="R301" s="231"/>
      <c r="S301" s="198"/>
    </row>
    <row r="302" customFormat="false" ht="13.8" hidden="false" customHeight="false" outlineLevel="0" collapsed="false">
      <c r="A302" s="128"/>
      <c r="B302" s="128"/>
      <c r="C302" s="36"/>
      <c r="D302" s="139"/>
      <c r="E302" s="130" t="str">
        <f aca="false">IF(D302="","",VLOOKUP(D302,matriz_codigo_prezos,2,FALSE()))</f>
        <v/>
      </c>
      <c r="F302" s="131"/>
      <c r="G302" s="129"/>
      <c r="H302" s="132"/>
      <c r="I302" s="232"/>
      <c r="J302" s="236"/>
      <c r="K302" s="134"/>
      <c r="L302" s="129"/>
      <c r="M302" s="135"/>
      <c r="N302" s="136"/>
      <c r="O302" s="137"/>
      <c r="P302" s="135"/>
      <c r="Q302" s="138"/>
      <c r="R302" s="199"/>
      <c r="S302" s="198"/>
    </row>
    <row r="303" customFormat="false" ht="13.8" hidden="false" customHeight="false" outlineLevel="0" collapsed="false">
      <c r="A303" s="106" t="s">
        <v>227</v>
      </c>
      <c r="B303" s="106"/>
      <c r="C303" s="106"/>
      <c r="D303" s="106"/>
      <c r="E303" s="107" t="str">
        <f aca="false">IF(D303="","",VLOOKUP(D303,matriz_codigo_prezos,2,FALSE()))</f>
        <v/>
      </c>
      <c r="F303" s="106"/>
      <c r="G303" s="108"/>
      <c r="H303" s="108"/>
      <c r="I303" s="240"/>
      <c r="J303" s="236"/>
      <c r="K303" s="228"/>
      <c r="L303" s="129"/>
      <c r="M303" s="135"/>
      <c r="N303" s="141"/>
      <c r="O303" s="137"/>
      <c r="P303" s="135"/>
      <c r="Q303" s="138"/>
      <c r="R303" s="199"/>
      <c r="S303" s="198"/>
    </row>
    <row r="304" customFormat="false" ht="13.8" hidden="false" customHeight="false" outlineLevel="0" collapsed="false">
      <c r="A304" s="33"/>
      <c r="B304" s="128"/>
      <c r="C304" s="148" t="s">
        <v>228</v>
      </c>
      <c r="D304" s="118"/>
      <c r="E304" s="119"/>
      <c r="F304" s="118"/>
      <c r="G304" s="120"/>
      <c r="H304" s="120"/>
      <c r="I304" s="245"/>
      <c r="J304" s="236"/>
      <c r="K304" s="228"/>
      <c r="L304" s="129"/>
      <c r="M304" s="135"/>
      <c r="N304" s="141"/>
      <c r="O304" s="137"/>
      <c r="P304" s="135"/>
      <c r="Q304" s="138"/>
      <c r="R304" s="199"/>
      <c r="S304" s="198"/>
    </row>
    <row r="305" customFormat="false" ht="13.8" hidden="false" customHeight="false" outlineLevel="0" collapsed="false">
      <c r="A305" s="115"/>
      <c r="B305" s="116" t="s">
        <v>194</v>
      </c>
      <c r="C305" s="205" t="s">
        <v>229</v>
      </c>
      <c r="D305" s="139"/>
      <c r="E305" s="130"/>
      <c r="F305" s="131"/>
      <c r="G305" s="129"/>
      <c r="H305" s="132"/>
      <c r="I305" s="133"/>
      <c r="J305" s="167"/>
      <c r="K305" s="204"/>
      <c r="L305" s="129"/>
      <c r="M305" s="135"/>
      <c r="N305" s="136"/>
      <c r="O305" s="137"/>
      <c r="P305" s="135"/>
      <c r="Q305" s="136"/>
      <c r="R305" s="197"/>
      <c r="S305" s="198"/>
    </row>
    <row r="306" customFormat="false" ht="17.9" hidden="false" customHeight="false" outlineLevel="0" collapsed="false">
      <c r="A306" s="128"/>
      <c r="B306" s="128"/>
      <c r="C306" s="36"/>
      <c r="D306" s="139" t="s">
        <v>217</v>
      </c>
      <c r="E306" s="130" t="str">
        <f aca="false">IF(D306="","",VLOOKUP(D306,matriz_codigo_prezos,2,FALSE()))</f>
        <v>Análise granulométrica por tamizado (solos UNE 103101 ou equivalente) (aridos UNE EN 933-1 ou equivalente)</v>
      </c>
      <c r="F306" s="131" t="n">
        <v>500</v>
      </c>
      <c r="G306" s="129" t="s">
        <v>194</v>
      </c>
      <c r="H306" s="132" t="n">
        <v>5</v>
      </c>
      <c r="I306" s="232" t="n">
        <f aca="false">IF($A$305="",0,IF(($A$305/F306)&gt;1,ROUNDUP($A$305/F306,0), 1))</f>
        <v>0</v>
      </c>
      <c r="J306" s="236"/>
      <c r="K306" s="134" t="n">
        <f aca="false">$N$6</f>
        <v>0.3</v>
      </c>
      <c r="L306" s="129" t="n">
        <f aca="false">IF(O306=0,0,ROUNDUP(O306*K306,0))</f>
        <v>0</v>
      </c>
      <c r="M306" s="135" t="n">
        <f aca="false">P306</f>
        <v>44</v>
      </c>
      <c r="N306" s="136" t="n">
        <f aca="false">ROUND(L306*M306,2)</f>
        <v>0</v>
      </c>
      <c r="O306" s="137" t="n">
        <f aca="false">INT(+I306*H306)</f>
        <v>0</v>
      </c>
      <c r="P306" s="135" t="n">
        <f aca="false">IF(D306="","",VLOOKUP(D306,matriz_codigo_prezos,6,FALSE()))</f>
        <v>44</v>
      </c>
      <c r="Q306" s="138" t="n">
        <f aca="false">IF(O306="","",ROUND(O306*P306,2))</f>
        <v>0</v>
      </c>
      <c r="R306" s="203" t="s">
        <v>230</v>
      </c>
      <c r="S306" s="198"/>
    </row>
    <row r="307" customFormat="false" ht="17.9" hidden="false" customHeight="false" outlineLevel="0" collapsed="false">
      <c r="A307" s="128"/>
      <c r="B307" s="128"/>
      <c r="C307" s="36"/>
      <c r="D307" s="129" t="s">
        <v>222</v>
      </c>
      <c r="E307" s="130" t="str">
        <f aca="false">IF(D307="","",VLOOKUP(D307,matriz_codigo_prezos,2,FALSE()))</f>
        <v>Equivalente de Area UNE EN 933-8 ou equivalente (Anexo A)</v>
      </c>
      <c r="F307" s="131" t="n">
        <v>500</v>
      </c>
      <c r="G307" s="129" t="s">
        <v>194</v>
      </c>
      <c r="H307" s="132" t="n">
        <v>1</v>
      </c>
      <c r="I307" s="232" t="n">
        <f aca="false">IF($A$305="",0,IF(($A$305/F307)&gt;1,ROUNDUP($A$305/F307,0), 1))</f>
        <v>0</v>
      </c>
      <c r="J307" s="236"/>
      <c r="K307" s="134" t="n">
        <f aca="false">$N$6</f>
        <v>0.3</v>
      </c>
      <c r="L307" s="129" t="n">
        <f aca="false">IF(O307=0,0,ROUNDUP(O307*K307,0))</f>
        <v>0</v>
      </c>
      <c r="M307" s="135" t="n">
        <f aca="false">P307</f>
        <v>51</v>
      </c>
      <c r="N307" s="136" t="n">
        <f aca="false">ROUND(L307*M307,2)</f>
        <v>0</v>
      </c>
      <c r="O307" s="137" t="n">
        <f aca="false">INT(+I307*H307)</f>
        <v>0</v>
      </c>
      <c r="P307" s="135" t="n">
        <f aca="false">IF(D307="","",VLOOKUP(D307,matriz_codigo_prezos,6,FALSE()))</f>
        <v>51</v>
      </c>
      <c r="Q307" s="138" t="n">
        <f aca="false">IF(O307="","",ROUND(O307*P307,2))</f>
        <v>0</v>
      </c>
      <c r="R307" s="203" t="s">
        <v>231</v>
      </c>
      <c r="S307" s="198"/>
    </row>
    <row r="308" customFormat="false" ht="13.8" hidden="false" customHeight="false" outlineLevel="0" collapsed="false">
      <c r="A308" s="115"/>
      <c r="B308" s="116" t="s">
        <v>232</v>
      </c>
      <c r="C308" s="205" t="s">
        <v>233</v>
      </c>
      <c r="D308" s="139"/>
      <c r="E308" s="130"/>
      <c r="F308" s="131"/>
      <c r="G308" s="129"/>
      <c r="H308" s="132"/>
      <c r="I308" s="133"/>
      <c r="J308" s="167"/>
      <c r="K308" s="204"/>
      <c r="L308" s="129"/>
      <c r="M308" s="135"/>
      <c r="N308" s="136"/>
      <c r="O308" s="137"/>
      <c r="P308" s="135"/>
      <c r="Q308" s="136"/>
      <c r="R308" s="197"/>
      <c r="S308" s="198"/>
    </row>
    <row r="309" customFormat="false" ht="17.9" hidden="false" customHeight="false" outlineLevel="0" collapsed="false">
      <c r="A309" s="128"/>
      <c r="B309" s="128"/>
      <c r="C309" s="36"/>
      <c r="D309" s="139" t="s">
        <v>154</v>
      </c>
      <c r="E309" s="130" t="str">
        <f aca="false">IF(D309="","",VLOOKUP(D309,matriz_codigo_prezos,2,FALSE()))</f>
        <v>Índice de laxas do árido groso UNE EN 933-3 ou equivalente</v>
      </c>
      <c r="F309" s="131" t="n">
        <v>1</v>
      </c>
      <c r="G309" s="129" t="s">
        <v>232</v>
      </c>
      <c r="H309" s="132" t="n">
        <v>3</v>
      </c>
      <c r="I309" s="232" t="n">
        <f aca="false">IF($A$308="",0,IF(($A$308/F309)&gt;1,ROUNDUP($A$308/F309,0), 1))</f>
        <v>0</v>
      </c>
      <c r="J309" s="236"/>
      <c r="K309" s="134" t="n">
        <f aca="false">$N$6</f>
        <v>0.3</v>
      </c>
      <c r="L309" s="129" t="n">
        <f aca="false">IF(O309=0,0,ROUNDUP(O309*K309,0))</f>
        <v>0</v>
      </c>
      <c r="M309" s="135" t="n">
        <f aca="false">P309</f>
        <v>66</v>
      </c>
      <c r="N309" s="136" t="n">
        <f aca="false">ROUND(L309*M309,2)</f>
        <v>0</v>
      </c>
      <c r="O309" s="137" t="n">
        <f aca="false">INT(+I309*H309)</f>
        <v>0</v>
      </c>
      <c r="P309" s="135" t="n">
        <f aca="false">IF(D309="","",VLOOKUP(D309,matriz_codigo_prezos,6,FALSE()))</f>
        <v>66</v>
      </c>
      <c r="Q309" s="138" t="n">
        <f aca="false">IF(O309="","",ROUND(O309*P309,2))</f>
        <v>0</v>
      </c>
      <c r="R309" s="231" t="s">
        <v>234</v>
      </c>
      <c r="S309" s="198"/>
    </row>
    <row r="310" customFormat="false" ht="13.8" hidden="false" customHeight="false" outlineLevel="0" collapsed="false">
      <c r="A310" s="128"/>
      <c r="B310" s="128"/>
      <c r="C310" s="36"/>
      <c r="D310" s="139" t="s">
        <v>155</v>
      </c>
      <c r="E310" s="130" t="str">
        <f aca="false">IF(D310="","",VLOOKUP(D310,matriz_codigo_prezos,2,FALSE()))</f>
        <v>Porcentaxe de caras de fractura do árido groso UNE EN 933-5 ou equivalente</v>
      </c>
      <c r="F310" s="131" t="n">
        <v>1</v>
      </c>
      <c r="G310" s="129" t="s">
        <v>232</v>
      </c>
      <c r="H310" s="132" t="n">
        <v>3</v>
      </c>
      <c r="I310" s="232" t="n">
        <f aca="false">IF($A$308="",0,IF(($A$308/F310)&gt;1,ROUNDUP($A$308/F310,0), 1))</f>
        <v>0</v>
      </c>
      <c r="J310" s="236"/>
      <c r="K310" s="134" t="n">
        <f aca="false">$N$6</f>
        <v>0.3</v>
      </c>
      <c r="L310" s="129" t="n">
        <f aca="false">IF(O310=0,0,ROUNDUP(O310*K310,0))</f>
        <v>0</v>
      </c>
      <c r="M310" s="135" t="n">
        <f aca="false">P310</f>
        <v>35</v>
      </c>
      <c r="N310" s="136" t="n">
        <f aca="false">ROUND(L310*M310,2)</f>
        <v>0</v>
      </c>
      <c r="O310" s="137" t="n">
        <f aca="false">INT(+I310*H310)</f>
        <v>0</v>
      </c>
      <c r="P310" s="135" t="n">
        <f aca="false">IF(D310="","",VLOOKUP(D310,matriz_codigo_prezos,6,FALSE()))</f>
        <v>35</v>
      </c>
      <c r="Q310" s="138" t="n">
        <f aca="false">IF(O310="","",ROUND(O310*P310,2))</f>
        <v>0</v>
      </c>
      <c r="R310" s="231"/>
      <c r="S310" s="198"/>
    </row>
    <row r="311" customFormat="false" ht="17.9" hidden="false" customHeight="false" outlineLevel="0" collapsed="false">
      <c r="A311" s="128"/>
      <c r="B311" s="128"/>
      <c r="C311" s="36"/>
      <c r="D311" s="139" t="s">
        <v>218</v>
      </c>
      <c r="E311" s="130" t="str">
        <f aca="false">IF(D311="","",VLOOKUP(D311,matriz_codigo_prezos,2,FALSE()))</f>
        <v>Limpeza superficial. Contido de impurezas do árido groso UNE EN 146130 ou equivalente; Anexo C</v>
      </c>
      <c r="F311" s="131" t="n">
        <v>1</v>
      </c>
      <c r="G311" s="129" t="s">
        <v>232</v>
      </c>
      <c r="H311" s="132" t="n">
        <v>3</v>
      </c>
      <c r="I311" s="232" t="n">
        <f aca="false">IF($A$308="",0,IF(($A$308/F311)&gt;1,ROUNDUP($A$308/F311,0), 1))</f>
        <v>0</v>
      </c>
      <c r="J311" s="236"/>
      <c r="K311" s="134" t="n">
        <f aca="false">$N$6</f>
        <v>0.3</v>
      </c>
      <c r="L311" s="129" t="n">
        <f aca="false">IF(O311=0,0,ROUNDUP(O311*K311,0))</f>
        <v>0</v>
      </c>
      <c r="M311" s="135" t="n">
        <f aca="false">P311</f>
        <v>33</v>
      </c>
      <c r="N311" s="136" t="n">
        <f aca="false">ROUND(L311*M311,2)</f>
        <v>0</v>
      </c>
      <c r="O311" s="137" t="n">
        <f aca="false">INT(+I311*H311)</f>
        <v>0</v>
      </c>
      <c r="P311" s="135" t="n">
        <f aca="false">IF(D311="","",VLOOKUP(D311,matriz_codigo_prezos,6,FALSE()))</f>
        <v>33</v>
      </c>
      <c r="Q311" s="138" t="n">
        <f aca="false">IF(O311="","",ROUND(O311*P311,2))</f>
        <v>0</v>
      </c>
      <c r="R311" s="231"/>
      <c r="S311" s="198"/>
    </row>
    <row r="312" customFormat="false" ht="13.8" hidden="false" customHeight="false" outlineLevel="0" collapsed="false">
      <c r="A312" s="115"/>
      <c r="B312" s="116" t="s">
        <v>235</v>
      </c>
      <c r="C312" s="205" t="s">
        <v>236</v>
      </c>
      <c r="D312" s="139"/>
      <c r="E312" s="130"/>
      <c r="F312" s="131"/>
      <c r="G312" s="129"/>
      <c r="H312" s="132"/>
      <c r="I312" s="133"/>
      <c r="J312" s="167"/>
      <c r="K312" s="204"/>
      <c r="L312" s="129"/>
      <c r="M312" s="135"/>
      <c r="N312" s="136"/>
      <c r="O312" s="137"/>
      <c r="P312" s="135"/>
      <c r="Q312" s="136"/>
      <c r="R312" s="197"/>
      <c r="S312" s="198"/>
    </row>
    <row r="313" customFormat="false" ht="17.9" hidden="false" customHeight="false" outlineLevel="0" collapsed="false">
      <c r="A313" s="128"/>
      <c r="B313" s="128"/>
      <c r="C313" s="36"/>
      <c r="D313" s="139" t="s">
        <v>152</v>
      </c>
      <c r="E313" s="130" t="str">
        <f aca="false">IF(D313="","",VLOOKUP(D313,matriz_codigo_prezos,2,FALSE()))</f>
        <v>Resistencia á fragmentación Ensaio "Os Ánxeles" UNE EN 1097-2 ou equivalente</v>
      </c>
      <c r="F313" s="131" t="n">
        <v>1</v>
      </c>
      <c r="G313" s="129" t="s">
        <v>235</v>
      </c>
      <c r="H313" s="132" t="n">
        <v>1</v>
      </c>
      <c r="I313" s="232" t="n">
        <f aca="false">IF($A$312&lt;&gt;0,   ROUNDUP($A$312/F313,0), 0)</f>
        <v>0</v>
      </c>
      <c r="J313" s="233" t="s">
        <v>71</v>
      </c>
      <c r="K313" s="134" t="n">
        <f aca="false">$N$6</f>
        <v>0.3</v>
      </c>
      <c r="L313" s="129" t="n">
        <f aca="false">ROUNDUP(H313*I313*K313,0)</f>
        <v>0</v>
      </c>
      <c r="M313" s="135" t="n">
        <f aca="false">P313</f>
        <v>104</v>
      </c>
      <c r="N313" s="136" t="n">
        <f aca="false">ROUND(L313*M313,2)</f>
        <v>0</v>
      </c>
      <c r="O313" s="137" t="n">
        <f aca="false">INT(H313*I313)</f>
        <v>0</v>
      </c>
      <c r="P313" s="135" t="n">
        <f aca="false">IF(D313="","",VLOOKUP(D313,matriz_codigo_prezos,6,FALSE()))</f>
        <v>104</v>
      </c>
      <c r="Q313" s="138" t="n">
        <f aca="false">IF(O313="","",ROUND(O313*P313,2))</f>
        <v>0</v>
      </c>
      <c r="R313" s="231" t="s">
        <v>174</v>
      </c>
      <c r="S313" s="226"/>
    </row>
    <row r="314" customFormat="false" ht="17.9" hidden="false" customHeight="false" outlineLevel="0" collapsed="false">
      <c r="A314" s="128"/>
      <c r="B314" s="128"/>
      <c r="C314" s="36"/>
      <c r="D314" s="139" t="s">
        <v>214</v>
      </c>
      <c r="E314" s="130" t="str">
        <f aca="false">IF(D314="","",VLOOKUP(D314,matriz_codigo_prezos,2,FALSE()))</f>
        <v>Coeficiente de Pulido Acelerado C.P.A. do árido groso UNE EN 1097-8 ou equivalente</v>
      </c>
      <c r="F314" s="131" t="n">
        <v>1</v>
      </c>
      <c r="G314" s="129" t="s">
        <v>235</v>
      </c>
      <c r="H314" s="132" t="n">
        <v>1</v>
      </c>
      <c r="I314" s="232" t="n">
        <f aca="false">IF($A$312&lt;&gt;0,   ROUNDUP($A$312/F314,0), 0)</f>
        <v>0</v>
      </c>
      <c r="J314" s="233" t="s">
        <v>71</v>
      </c>
      <c r="K314" s="134" t="n">
        <f aca="false">$N$6</f>
        <v>0.3</v>
      </c>
      <c r="L314" s="129" t="n">
        <f aca="false">ROUNDUP(H314*I314*K314,0)</f>
        <v>0</v>
      </c>
      <c r="M314" s="135" t="n">
        <f aca="false">P314</f>
        <v>644</v>
      </c>
      <c r="N314" s="136" t="n">
        <f aca="false">ROUND(L314*M314,2)</f>
        <v>0</v>
      </c>
      <c r="O314" s="137" t="n">
        <f aca="false">INT(H314*I314)</f>
        <v>0</v>
      </c>
      <c r="P314" s="135" t="n">
        <f aca="false">IF(D314="","",VLOOKUP(D314,matriz_codigo_prezos,6,FALSE()))</f>
        <v>644</v>
      </c>
      <c r="Q314" s="138" t="n">
        <f aca="false">IF(O314="","",ROUND(O314*P314,2))</f>
        <v>0</v>
      </c>
      <c r="R314" s="231"/>
      <c r="S314" s="198"/>
    </row>
    <row r="315" customFormat="false" ht="17.9" hidden="false" customHeight="false" outlineLevel="0" collapsed="false">
      <c r="A315" s="128"/>
      <c r="B315" s="128"/>
      <c r="C315" s="36"/>
      <c r="D315" s="139" t="s">
        <v>215</v>
      </c>
      <c r="E315" s="130" t="str">
        <f aca="false">IF(D315="","",VLOOKUP(D315,matriz_codigo_prezos,2,FALSE()))</f>
        <v>Densidade relativa e absorción do árido groso UNE EN 1097-6 ou equivalente</v>
      </c>
      <c r="F315" s="131" t="n">
        <v>1</v>
      </c>
      <c r="G315" s="129" t="s">
        <v>235</v>
      </c>
      <c r="H315" s="132" t="n">
        <v>3</v>
      </c>
      <c r="I315" s="232" t="n">
        <f aca="false">IF($A$312&lt;&gt;0,   ROUNDUP($A$312/F315,0), 0)</f>
        <v>0</v>
      </c>
      <c r="J315" s="233" t="s">
        <v>71</v>
      </c>
      <c r="K315" s="134" t="n">
        <f aca="false">$N$6</f>
        <v>0.3</v>
      </c>
      <c r="L315" s="129" t="n">
        <f aca="false">ROUNDUP(H315*I315*K315,0)</f>
        <v>0</v>
      </c>
      <c r="M315" s="135" t="n">
        <f aca="false">P315</f>
        <v>50</v>
      </c>
      <c r="N315" s="136" t="n">
        <f aca="false">ROUND(L315*M315,2)</f>
        <v>0</v>
      </c>
      <c r="O315" s="137" t="n">
        <f aca="false">INT(H315*I315)</f>
        <v>0</v>
      </c>
      <c r="P315" s="135" t="n">
        <f aca="false">IF(D315="","",VLOOKUP(D315,matriz_codigo_prezos,6,FALSE()))</f>
        <v>50</v>
      </c>
      <c r="Q315" s="138" t="n">
        <f aca="false">IF(O315="","",ROUND(O315*P315,2))</f>
        <v>0</v>
      </c>
      <c r="R315" s="203" t="s">
        <v>234</v>
      </c>
      <c r="S315" s="198"/>
    </row>
    <row r="316" customFormat="false" ht="17.9" hidden="false" customHeight="false" outlineLevel="0" collapsed="false">
      <c r="A316" s="128"/>
      <c r="B316" s="128"/>
      <c r="C316" s="36"/>
      <c r="D316" s="139" t="s">
        <v>220</v>
      </c>
      <c r="E316" s="130" t="str">
        <f aca="false">IF(D316="","",VLOOKUP(D316,matriz_codigo_prezos,2,FALSE()))</f>
        <v>Densidade relativa e absorción do árido fino UNE EN 1097-6 ou equivalente</v>
      </c>
      <c r="F316" s="131" t="n">
        <v>1</v>
      </c>
      <c r="G316" s="129" t="s">
        <v>235</v>
      </c>
      <c r="H316" s="132" t="n">
        <v>2</v>
      </c>
      <c r="I316" s="232" t="n">
        <f aca="false">IF($A$312&lt;&gt;0,   ROUNDUP($A$312/F316,0), 0)</f>
        <v>0</v>
      </c>
      <c r="J316" s="233" t="s">
        <v>71</v>
      </c>
      <c r="K316" s="134" t="n">
        <f aca="false">$N$6</f>
        <v>0.3</v>
      </c>
      <c r="L316" s="129" t="n">
        <f aca="false">ROUNDUP(H316*I316*K316,0)</f>
        <v>0</v>
      </c>
      <c r="M316" s="135" t="n">
        <f aca="false">P316</f>
        <v>63</v>
      </c>
      <c r="N316" s="136" t="n">
        <f aca="false">ROUND(L316*M316,2)</f>
        <v>0</v>
      </c>
      <c r="O316" s="137" t="n">
        <f aca="false">INT(H316*I316)</f>
        <v>0</v>
      </c>
      <c r="P316" s="135" t="n">
        <f aca="false">IF(D316="","",VLOOKUP(D316,matriz_codigo_prezos,6,FALSE()))</f>
        <v>63</v>
      </c>
      <c r="Q316" s="138" t="n">
        <f aca="false">IF(O316="","",ROUND(O316*P316,2))</f>
        <v>0</v>
      </c>
      <c r="R316" s="203" t="s">
        <v>237</v>
      </c>
      <c r="S316" s="198"/>
    </row>
    <row r="317" customFormat="false" ht="17.9" hidden="false" customHeight="false" outlineLevel="0" collapsed="false">
      <c r="A317" s="128"/>
      <c r="B317" s="128"/>
      <c r="C317" s="148" t="s">
        <v>238</v>
      </c>
      <c r="D317" s="118"/>
      <c r="E317" s="119"/>
      <c r="F317" s="118"/>
      <c r="G317" s="120"/>
      <c r="H317" s="120"/>
      <c r="I317" s="245"/>
      <c r="J317" s="236"/>
      <c r="K317" s="134"/>
      <c r="L317" s="129"/>
      <c r="M317" s="135"/>
      <c r="N317" s="136"/>
      <c r="O317" s="137"/>
      <c r="P317" s="135"/>
      <c r="Q317" s="138"/>
      <c r="R317" s="224"/>
      <c r="S317" s="198"/>
    </row>
    <row r="318" customFormat="false" ht="58.95" hidden="false" customHeight="false" outlineLevel="0" collapsed="false">
      <c r="A318" s="115"/>
      <c r="B318" s="116" t="s">
        <v>239</v>
      </c>
      <c r="C318" s="148" t="s">
        <v>240</v>
      </c>
      <c r="D318" s="118"/>
      <c r="E318" s="119"/>
      <c r="F318" s="118"/>
      <c r="G318" s="120"/>
      <c r="H318" s="120"/>
      <c r="I318" s="120"/>
      <c r="J318" s="167"/>
      <c r="K318" s="143"/>
      <c r="L318" s="129"/>
      <c r="M318" s="135"/>
      <c r="N318" s="141"/>
      <c r="O318" s="137"/>
      <c r="P318" s="135"/>
      <c r="Q318" s="136"/>
      <c r="R318" s="197"/>
      <c r="S318" s="198"/>
    </row>
    <row r="319" customFormat="false" ht="13.8" hidden="false" customHeight="false" outlineLevel="0" collapsed="false">
      <c r="A319" s="128"/>
      <c r="B319" s="128"/>
      <c r="C319" s="36"/>
      <c r="D319" s="139" t="s">
        <v>224</v>
      </c>
      <c r="E319" s="130" t="str">
        <f aca="false">IF(D319="","",VLOOKUP(D319,matriz_codigo_prezos,2,FALSE()))</f>
        <v>Densidade aparente do po mineral UNE EN 1097-3 ou equivalente Anexo A</v>
      </c>
      <c r="F319" s="131" t="n">
        <v>1</v>
      </c>
      <c r="G319" s="129" t="s">
        <v>239</v>
      </c>
      <c r="H319" s="132" t="n">
        <v>1</v>
      </c>
      <c r="I319" s="232" t="n">
        <f aca="false">IF($A$318&lt;&gt;0,   ROUNDUP($A$318/F319,0), 0)</f>
        <v>0</v>
      </c>
      <c r="J319" s="233" t="s">
        <v>71</v>
      </c>
      <c r="K319" s="134" t="n">
        <f aca="false">$N$6</f>
        <v>0.3</v>
      </c>
      <c r="L319" s="129" t="n">
        <f aca="false">ROUNDUP(H319*I319*K319,0)</f>
        <v>0</v>
      </c>
      <c r="M319" s="135" t="n">
        <f aca="false">P319</f>
        <v>30</v>
      </c>
      <c r="N319" s="136" t="n">
        <f aca="false">ROUND(L319*M319,2)</f>
        <v>0</v>
      </c>
      <c r="O319" s="137" t="n">
        <f aca="false">INT(H319*I319)</f>
        <v>0</v>
      </c>
      <c r="P319" s="135" t="n">
        <f aca="false">IF(D319="","",VLOOKUP(D319,matriz_codigo_prezos,6,FALSE()))</f>
        <v>30</v>
      </c>
      <c r="Q319" s="138" t="n">
        <f aca="false">IF(O319="","",ROUND(O319*P319,2))</f>
        <v>0</v>
      </c>
      <c r="R319" s="231" t="s">
        <v>225</v>
      </c>
      <c r="S319" s="198"/>
    </row>
    <row r="320" customFormat="false" ht="13.8" hidden="false" customHeight="false" outlineLevel="0" collapsed="false">
      <c r="A320" s="128"/>
      <c r="B320" s="128"/>
      <c r="C320" s="36"/>
      <c r="D320" s="139" t="s">
        <v>226</v>
      </c>
      <c r="E320" s="130" t="str">
        <f aca="false">IF(D320="","",VLOOKUP(D320,matriz_codigo_prezos,2,FALSE()))</f>
        <v>Análise granulométrica do po mineral UNE EN 933-10 ou equivalente</v>
      </c>
      <c r="F320" s="131" t="n">
        <v>1</v>
      </c>
      <c r="G320" s="129" t="s">
        <v>239</v>
      </c>
      <c r="H320" s="132" t="n">
        <v>1</v>
      </c>
      <c r="I320" s="232" t="n">
        <f aca="false">IF($A$318&lt;&gt;0,   ROUNDUP($A$318/F320,0), 0)</f>
        <v>0</v>
      </c>
      <c r="J320" s="233" t="s">
        <v>71</v>
      </c>
      <c r="K320" s="134" t="n">
        <f aca="false">$N$6</f>
        <v>0.3</v>
      </c>
      <c r="L320" s="129" t="n">
        <f aca="false">ROUNDUP(H320*I320*K320,0)</f>
        <v>0</v>
      </c>
      <c r="M320" s="135" t="n">
        <f aca="false">P320</f>
        <v>52</v>
      </c>
      <c r="N320" s="136" t="n">
        <f aca="false">ROUND(L320*M320,2)</f>
        <v>0</v>
      </c>
      <c r="O320" s="137" t="n">
        <f aca="false">INT(H320*I320)</f>
        <v>0</v>
      </c>
      <c r="P320" s="135" t="n">
        <f aca="false">IF(D320="","",VLOOKUP(D320,matriz_codigo_prezos,6,FALSE()))</f>
        <v>52</v>
      </c>
      <c r="Q320" s="138" t="n">
        <f aca="false">IF(O320="","",ROUND(O320*P320,2))</f>
        <v>0</v>
      </c>
      <c r="R320" s="231"/>
      <c r="S320" s="198"/>
    </row>
    <row r="321" customFormat="false" ht="40.25" hidden="false" customHeight="false" outlineLevel="0" collapsed="false">
      <c r="A321" s="207" t="s">
        <v>241</v>
      </c>
      <c r="B321" s="106"/>
      <c r="C321" s="106"/>
      <c r="D321" s="207"/>
      <c r="E321" s="208"/>
      <c r="F321" s="207"/>
      <c r="G321" s="209"/>
      <c r="H321" s="209"/>
      <c r="I321" s="235"/>
      <c r="J321" s="236"/>
      <c r="K321" s="134"/>
      <c r="L321" s="129"/>
      <c r="M321" s="135"/>
      <c r="N321" s="136"/>
      <c r="O321" s="137"/>
      <c r="P321" s="135"/>
      <c r="Q321" s="138"/>
      <c r="R321" s="199"/>
      <c r="S321" s="198"/>
    </row>
    <row r="322" customFormat="false" ht="13.8" hidden="false" customHeight="false" outlineLevel="0" collapsed="false">
      <c r="A322" s="128"/>
      <c r="B322" s="128"/>
      <c r="C322" s="246" t="s">
        <v>242</v>
      </c>
      <c r="D322" s="118"/>
      <c r="E322" s="119"/>
      <c r="F322" s="118"/>
      <c r="G322" s="120"/>
      <c r="H322" s="120"/>
      <c r="I322" s="245"/>
      <c r="J322" s="236"/>
      <c r="K322" s="228"/>
      <c r="L322" s="129"/>
      <c r="M322" s="135"/>
      <c r="N322" s="141"/>
      <c r="O322" s="137"/>
      <c r="P322" s="135"/>
      <c r="Q322" s="138"/>
      <c r="R322" s="199"/>
      <c r="S322" s="198"/>
    </row>
    <row r="323" customFormat="false" ht="13.8" hidden="false" customHeight="false" outlineLevel="0" collapsed="false">
      <c r="A323" s="115"/>
      <c r="B323" s="116" t="s">
        <v>243</v>
      </c>
      <c r="C323" s="205" t="s">
        <v>244</v>
      </c>
      <c r="D323" s="139"/>
      <c r="E323" s="130"/>
      <c r="F323" s="131"/>
      <c r="G323" s="129"/>
      <c r="H323" s="132"/>
      <c r="I323" s="133"/>
      <c r="J323" s="167"/>
      <c r="K323" s="204"/>
      <c r="L323" s="129"/>
      <c r="M323" s="135"/>
      <c r="N323" s="136"/>
      <c r="O323" s="137"/>
      <c r="P323" s="135"/>
      <c r="Q323" s="136"/>
      <c r="R323" s="197"/>
      <c r="S323" s="198"/>
    </row>
    <row r="324" customFormat="false" ht="13.8" hidden="false" customHeight="false" outlineLevel="0" collapsed="false">
      <c r="A324" s="128"/>
      <c r="B324" s="128"/>
      <c r="C324" s="36"/>
      <c r="D324" s="139" t="s">
        <v>224</v>
      </c>
      <c r="E324" s="130" t="str">
        <f aca="false">IF(D324="","",VLOOKUP(D324,matriz_codigo_prezos,2,FALSE()))</f>
        <v>Densidade aparente do po mineral UNE EN 1097-3 ou equivalente Anexo A</v>
      </c>
      <c r="F324" s="131" t="n">
        <v>1</v>
      </c>
      <c r="G324" s="129" t="s">
        <v>243</v>
      </c>
      <c r="H324" s="132" t="n">
        <v>1</v>
      </c>
      <c r="I324" s="232" t="n">
        <f aca="false">ROUNDUP(A323/F324,0)</f>
        <v>0</v>
      </c>
      <c r="J324" s="233" t="s">
        <v>71</v>
      </c>
      <c r="K324" s="134" t="n">
        <f aca="false">$N$6</f>
        <v>0.3</v>
      </c>
      <c r="L324" s="129" t="n">
        <f aca="false">ROUNDUP(H324*I324*K324,0)</f>
        <v>0</v>
      </c>
      <c r="M324" s="135" t="n">
        <f aca="false">P324</f>
        <v>30</v>
      </c>
      <c r="N324" s="136" t="n">
        <f aca="false">ROUND(L324*M324,2)</f>
        <v>0</v>
      </c>
      <c r="O324" s="137" t="n">
        <f aca="false">INT(H324*I324)</f>
        <v>0</v>
      </c>
      <c r="P324" s="135" t="n">
        <f aca="false">IF(D324="","",VLOOKUP(D324,matriz_codigo_prezos,6,FALSE()))</f>
        <v>30</v>
      </c>
      <c r="Q324" s="138" t="n">
        <f aca="false">IF(O324="","",ROUND(O324*P324,2))</f>
        <v>0</v>
      </c>
      <c r="R324" s="199"/>
      <c r="S324" s="198"/>
    </row>
    <row r="325" customFormat="false" ht="13.8" hidden="false" customHeight="false" outlineLevel="0" collapsed="false">
      <c r="A325" s="115"/>
      <c r="B325" s="116" t="s">
        <v>243</v>
      </c>
      <c r="C325" s="205" t="s">
        <v>245</v>
      </c>
      <c r="D325" s="139"/>
      <c r="E325" s="130"/>
      <c r="F325" s="131"/>
      <c r="G325" s="129"/>
      <c r="H325" s="132"/>
      <c r="I325" s="133"/>
      <c r="J325" s="133"/>
      <c r="K325" s="204"/>
      <c r="L325" s="129"/>
      <c r="M325" s="135"/>
      <c r="N325" s="136"/>
      <c r="O325" s="137"/>
      <c r="P325" s="135"/>
      <c r="Q325" s="136"/>
      <c r="R325" s="197"/>
      <c r="S325" s="198"/>
    </row>
    <row r="326" customFormat="false" ht="13.8" hidden="false" customHeight="false" outlineLevel="0" collapsed="false">
      <c r="A326" s="128"/>
      <c r="B326" s="128"/>
      <c r="C326" s="36"/>
      <c r="D326" s="139" t="s">
        <v>226</v>
      </c>
      <c r="E326" s="130" t="str">
        <f aca="false">IF(D326="","",VLOOKUP(D326,matriz_codigo_prezos,2,FALSE()))</f>
        <v>Análise granulométrica do po mineral UNE EN 933-10 ou equivalente</v>
      </c>
      <c r="F326" s="131" t="n">
        <v>1</v>
      </c>
      <c r="G326" s="129" t="s">
        <v>243</v>
      </c>
      <c r="H326" s="132" t="n">
        <v>1</v>
      </c>
      <c r="I326" s="232" t="n">
        <f aca="false">ROUNDUP(A325/F326,0)</f>
        <v>0</v>
      </c>
      <c r="J326" s="233" t="s">
        <v>71</v>
      </c>
      <c r="K326" s="134" t="n">
        <f aca="false">$N$6</f>
        <v>0.3</v>
      </c>
      <c r="L326" s="129" t="n">
        <f aca="false">ROUNDUP(H326*I326*K326,0)</f>
        <v>0</v>
      </c>
      <c r="M326" s="135" t="n">
        <f aca="false">P326</f>
        <v>52</v>
      </c>
      <c r="N326" s="136" t="n">
        <f aca="false">ROUND(L326*M326,2)</f>
        <v>0</v>
      </c>
      <c r="O326" s="137" t="n">
        <f aca="false">INT(H326*I326)</f>
        <v>0</v>
      </c>
      <c r="P326" s="135" t="n">
        <f aca="false">IF(D326="","",VLOOKUP(D326,matriz_codigo_prezos,6,FALSE()))</f>
        <v>52</v>
      </c>
      <c r="Q326" s="138" t="n">
        <f aca="false">IF(O326="","",ROUND(O326*P326,2))</f>
        <v>0</v>
      </c>
      <c r="R326" s="199"/>
      <c r="S326" s="198"/>
    </row>
    <row r="327" customFormat="false" ht="13.8" hidden="false" customHeight="false" outlineLevel="0" collapsed="false">
      <c r="A327" s="128"/>
      <c r="B327" s="128"/>
      <c r="C327" s="73"/>
      <c r="D327" s="139"/>
      <c r="E327" s="130" t="str">
        <f aca="false">IF(D327="","",VLOOKUP(D327,matriz_codigo_prezos,2,FALSE()))</f>
        <v/>
      </c>
      <c r="F327" s="131"/>
      <c r="G327" s="129"/>
      <c r="H327" s="132"/>
      <c r="I327" s="232"/>
      <c r="J327" s="236"/>
      <c r="K327" s="134"/>
      <c r="L327" s="129"/>
      <c r="M327" s="135"/>
      <c r="N327" s="136"/>
      <c r="O327" s="137"/>
      <c r="P327" s="135"/>
      <c r="Q327" s="138"/>
      <c r="R327" s="199"/>
      <c r="S327" s="198"/>
    </row>
    <row r="328" s="36" customFormat="true" ht="13.8" hidden="false" customHeight="false" outlineLevel="0" collapsed="false">
      <c r="A328" s="101" t="s">
        <v>246</v>
      </c>
      <c r="B328" s="101"/>
      <c r="C328" s="101"/>
      <c r="D328" s="101"/>
      <c r="E328" s="102" t="str">
        <f aca="false">IF(D328="","",VLOOKUP(D328,matriz_codigo_prezos,2,FALSE()))</f>
        <v/>
      </c>
      <c r="F328" s="101"/>
      <c r="G328" s="103"/>
      <c r="H328" s="103"/>
      <c r="I328" s="103"/>
      <c r="J328" s="103"/>
      <c r="K328" s="103"/>
      <c r="L328" s="103"/>
      <c r="M328" s="103"/>
      <c r="N328" s="103"/>
      <c r="O328" s="103"/>
      <c r="P328" s="103"/>
      <c r="Q328" s="103"/>
      <c r="R328" s="191"/>
      <c r="S328" s="222"/>
      <c r="U328" s="152"/>
    </row>
    <row r="329" customFormat="false" ht="79.1" hidden="false" customHeight="false" outlineLevel="0" collapsed="false">
      <c r="A329" s="115" t="n">
        <v>0</v>
      </c>
      <c r="B329" s="177" t="s">
        <v>247</v>
      </c>
      <c r="C329" s="177"/>
      <c r="D329" s="177"/>
      <c r="E329" s="247" t="str">
        <f aca="false">IF(D329="","",VLOOKUP(D329,matriz_codigo_prezos,2,FALSE()))</f>
        <v/>
      </c>
      <c r="F329" s="195"/>
      <c r="G329" s="162"/>
      <c r="H329" s="196"/>
      <c r="I329" s="133"/>
      <c r="J329" s="133"/>
      <c r="K329" s="165"/>
      <c r="L329" s="162"/>
      <c r="M329" s="135"/>
      <c r="N329" s="163"/>
      <c r="O329" s="164"/>
      <c r="P329" s="135"/>
      <c r="Q329" s="136"/>
      <c r="R329" s="197"/>
      <c r="S329" s="198"/>
    </row>
    <row r="330" customFormat="false" ht="13.8" hidden="false" customHeight="false" outlineLevel="0" collapsed="false">
      <c r="A330" s="33"/>
      <c r="B330" s="33"/>
      <c r="C330" s="33"/>
      <c r="D330" s="33"/>
      <c r="E330" s="210"/>
      <c r="F330" s="33"/>
      <c r="G330" s="167"/>
      <c r="H330" s="167"/>
      <c r="I330" s="248"/>
      <c r="J330" s="167"/>
      <c r="K330" s="249"/>
      <c r="L330" s="167"/>
      <c r="M330" s="167"/>
      <c r="N330" s="250"/>
      <c r="O330" s="167"/>
      <c r="P330" s="167"/>
      <c r="Q330" s="167"/>
      <c r="R330" s="199"/>
      <c r="S330" s="198"/>
    </row>
    <row r="331" customFormat="false" ht="79.1" hidden="false" customHeight="false" outlineLevel="0" collapsed="false">
      <c r="A331" s="251"/>
      <c r="B331" s="177" t="s">
        <v>248</v>
      </c>
      <c r="C331" s="177"/>
      <c r="D331" s="177"/>
      <c r="E331" s="247"/>
      <c r="F331" s="252"/>
      <c r="G331" s="162"/>
      <c r="H331" s="196"/>
      <c r="I331" s="232"/>
      <c r="J331" s="236"/>
      <c r="K331" s="161"/>
      <c r="L331" s="162"/>
      <c r="M331" s="135"/>
      <c r="N331" s="163"/>
      <c r="O331" s="164"/>
      <c r="P331" s="135"/>
      <c r="Q331" s="138"/>
      <c r="R331" s="199"/>
      <c r="S331" s="198"/>
    </row>
    <row r="332" customFormat="false" ht="13.8" hidden="false" customHeight="false" outlineLevel="0" collapsed="false">
      <c r="A332" s="115" t="n">
        <v>0</v>
      </c>
      <c r="B332" s="87" t="s">
        <v>249</v>
      </c>
      <c r="D332" s="253"/>
      <c r="E332" s="254"/>
      <c r="F332" s="252"/>
      <c r="G332" s="162"/>
      <c r="H332" s="196"/>
      <c r="I332" s="133"/>
      <c r="J332" s="133"/>
      <c r="K332" s="165"/>
      <c r="L332" s="162"/>
      <c r="M332" s="135"/>
      <c r="N332" s="163"/>
      <c r="O332" s="164"/>
      <c r="P332" s="135"/>
      <c r="Q332" s="136"/>
      <c r="R332" s="197"/>
      <c r="S332" s="198"/>
    </row>
    <row r="333" customFormat="false" ht="13.8" hidden="false" customHeight="false" outlineLevel="0" collapsed="false">
      <c r="A333" s="115" t="n">
        <v>0</v>
      </c>
      <c r="B333" s="87" t="s">
        <v>250</v>
      </c>
      <c r="D333" s="253"/>
      <c r="E333" s="254"/>
      <c r="F333" s="252"/>
      <c r="G333" s="162"/>
      <c r="H333" s="196"/>
      <c r="I333" s="133"/>
      <c r="J333" s="133"/>
      <c r="K333" s="165"/>
      <c r="L333" s="162"/>
      <c r="M333" s="135"/>
      <c r="N333" s="163"/>
      <c r="O333" s="164"/>
      <c r="P333" s="135"/>
      <c r="Q333" s="136"/>
      <c r="R333" s="197"/>
      <c r="S333" s="198"/>
    </row>
    <row r="334" customFormat="false" ht="13.8" hidden="false" customHeight="false" outlineLevel="0" collapsed="false">
      <c r="A334" s="115" t="n">
        <v>0</v>
      </c>
      <c r="B334" s="87" t="s">
        <v>251</v>
      </c>
      <c r="D334" s="253"/>
      <c r="E334" s="254"/>
      <c r="F334" s="252"/>
      <c r="G334" s="162"/>
      <c r="H334" s="196"/>
      <c r="I334" s="133"/>
      <c r="J334" s="133"/>
      <c r="K334" s="165"/>
      <c r="L334" s="162"/>
      <c r="M334" s="135"/>
      <c r="N334" s="163"/>
      <c r="O334" s="164"/>
      <c r="P334" s="135"/>
      <c r="Q334" s="136"/>
      <c r="R334" s="197"/>
      <c r="S334" s="198"/>
    </row>
    <row r="335" customFormat="false" ht="13.8" hidden="false" customHeight="false" outlineLevel="0" collapsed="false">
      <c r="A335" s="73"/>
      <c r="B335" s="73"/>
      <c r="C335" s="73"/>
      <c r="D335" s="33"/>
      <c r="E335" s="255"/>
      <c r="F335" s="252"/>
      <c r="G335" s="162"/>
      <c r="H335" s="196"/>
      <c r="I335" s="232"/>
      <c r="J335" s="236"/>
      <c r="K335" s="161"/>
      <c r="L335" s="162"/>
      <c r="M335" s="135"/>
      <c r="N335" s="163"/>
      <c r="O335" s="164"/>
      <c r="P335" s="135"/>
      <c r="Q335" s="138"/>
      <c r="R335" s="199"/>
      <c r="S335" s="198"/>
    </row>
    <row r="336" customFormat="false" ht="17.9" hidden="false" customHeight="false" outlineLevel="0" collapsed="false">
      <c r="A336" s="25" t="n">
        <f aca="false">SUM(A332:A334)</f>
        <v>0</v>
      </c>
      <c r="B336" s="113" t="s">
        <v>252</v>
      </c>
      <c r="C336" s="73"/>
      <c r="D336" s="33"/>
      <c r="E336" s="255"/>
      <c r="F336" s="252"/>
      <c r="G336" s="162"/>
      <c r="H336" s="196"/>
      <c r="I336" s="232"/>
      <c r="J336" s="236"/>
      <c r="K336" s="161"/>
      <c r="L336" s="162"/>
      <c r="M336" s="135"/>
      <c r="N336" s="163"/>
      <c r="O336" s="164"/>
      <c r="P336" s="135"/>
      <c r="Q336" s="138"/>
      <c r="R336" s="199"/>
      <c r="S336" s="198"/>
    </row>
    <row r="337" customFormat="false" ht="13.8" hidden="false" customHeight="false" outlineLevel="0" collapsed="false">
      <c r="A337" s="73"/>
      <c r="B337" s="73"/>
      <c r="C337" s="73"/>
      <c r="D337" s="33"/>
      <c r="E337" s="255"/>
      <c r="F337" s="252"/>
      <c r="G337" s="162"/>
      <c r="H337" s="196"/>
      <c r="I337" s="232"/>
      <c r="J337" s="236"/>
      <c r="K337" s="161"/>
      <c r="L337" s="162"/>
      <c r="M337" s="135"/>
      <c r="N337" s="163"/>
      <c r="O337" s="164"/>
      <c r="P337" s="135"/>
      <c r="Q337" s="138"/>
      <c r="R337" s="199"/>
      <c r="S337" s="198"/>
    </row>
    <row r="338" customFormat="false" ht="13.8" hidden="false" customHeight="false" outlineLevel="0" collapsed="false">
      <c r="A338" s="106" t="s">
        <v>253</v>
      </c>
      <c r="B338" s="106"/>
      <c r="C338" s="106" t="str">
        <f aca="false">IF(B338="","",VLOOKUP(B338,matriz_codigo_prezos,2,FALSE()))</f>
        <v/>
      </c>
      <c r="D338" s="106"/>
      <c r="E338" s="107"/>
      <c r="F338" s="106"/>
      <c r="G338" s="108"/>
      <c r="H338" s="108"/>
      <c r="I338" s="240"/>
      <c r="J338" s="167"/>
      <c r="K338" s="228"/>
      <c r="L338" s="129"/>
      <c r="M338" s="135"/>
      <c r="N338" s="141"/>
      <c r="O338" s="137"/>
      <c r="P338" s="135"/>
      <c r="Q338" s="138"/>
      <c r="R338" s="199"/>
      <c r="S338" s="198"/>
    </row>
    <row r="339" customFormat="false" ht="13.8" hidden="false" customHeight="false" outlineLevel="0" collapsed="false">
      <c r="A339" s="128"/>
      <c r="B339" s="128"/>
      <c r="C339" s="205" t="s">
        <v>254</v>
      </c>
      <c r="D339" s="139"/>
      <c r="E339" s="130"/>
      <c r="F339" s="244"/>
      <c r="G339" s="129"/>
      <c r="H339" s="157"/>
      <c r="I339" s="232"/>
      <c r="J339" s="167"/>
      <c r="K339" s="228"/>
      <c r="L339" s="129"/>
      <c r="M339" s="135"/>
      <c r="N339" s="141"/>
      <c r="O339" s="137"/>
      <c r="P339" s="135"/>
      <c r="Q339" s="138"/>
      <c r="R339" s="199"/>
      <c r="S339" s="198"/>
    </row>
    <row r="340" customFormat="false" ht="26.1" hidden="false" customHeight="false" outlineLevel="0" collapsed="false">
      <c r="A340" s="128"/>
      <c r="B340" s="128"/>
      <c r="C340" s="36"/>
      <c r="D340" s="139" t="s">
        <v>255</v>
      </c>
      <c r="E340" s="130" t="str">
        <f aca="false">IF(D340="","",VLOOKUP(D340,matriz_codigo_prezos,2,FALSE()))</f>
        <v>Fabricación de 3 probetas e determinación da densidade máxima, da densidade aparente e do contido de ocos UNE EN 12697-5, 6, 8 ,30 y 32 ou equivalente</v>
      </c>
      <c r="F340" s="131" t="n">
        <v>1</v>
      </c>
      <c r="G340" s="129" t="s">
        <v>256</v>
      </c>
      <c r="H340" s="132" t="n">
        <v>1</v>
      </c>
      <c r="I340" s="232" t="n">
        <f aca="false">IF( ISNUMBER(nmesturas_AC), nmesturas_AC*F340, 0*nmesturas_AC)</f>
        <v>0</v>
      </c>
      <c r="J340" s="233" t="s">
        <v>71</v>
      </c>
      <c r="K340" s="134" t="n">
        <f aca="false">$N$6</f>
        <v>0.3</v>
      </c>
      <c r="L340" s="129" t="n">
        <f aca="false">ROUNDUP(H340*I340*K340,0)</f>
        <v>0</v>
      </c>
      <c r="M340" s="135" t="n">
        <f aca="false">P340</f>
        <v>183</v>
      </c>
      <c r="N340" s="136" t="n">
        <f aca="false">ROUND(L340*M340,2)</f>
        <v>0</v>
      </c>
      <c r="O340" s="137" t="n">
        <f aca="false">INT(H340*I340)</f>
        <v>0</v>
      </c>
      <c r="P340" s="135" t="n">
        <f aca="false">IF(D340="","",VLOOKUP(D340,matriz_codigo_prezos,6,FALSE()))</f>
        <v>183</v>
      </c>
      <c r="Q340" s="138" t="n">
        <f aca="false">IF(O340="","",ROUND(O340*P340,2))</f>
        <v>0</v>
      </c>
      <c r="R340" s="199"/>
      <c r="S340" s="198"/>
    </row>
    <row r="341" customFormat="false" ht="17.9" hidden="false" customHeight="false" outlineLevel="0" collapsed="false">
      <c r="A341" s="33"/>
      <c r="B341" s="33"/>
      <c r="C341" s="36"/>
      <c r="D341" s="139" t="s">
        <v>257</v>
      </c>
      <c r="E341" s="130" t="str">
        <f aca="false">IF(D341="","",VLOOKUP(D341,matriz_codigo_prezos,2,FALSE()))</f>
        <v>Determinación do contido de ligante da mestura UNE EN 12697-1 ou equivalente</v>
      </c>
      <c r="F341" s="139" t="n">
        <v>1</v>
      </c>
      <c r="G341" s="129" t="s">
        <v>256</v>
      </c>
      <c r="H341" s="157" t="n">
        <v>1</v>
      </c>
      <c r="I341" s="232" t="n">
        <f aca="false">IF( ISNUMBER(nmesturas_AC), nmesturas_AC*F341, 0*nmesturas_AC)</f>
        <v>0</v>
      </c>
      <c r="J341" s="233" t="s">
        <v>71</v>
      </c>
      <c r="K341" s="134" t="n">
        <f aca="false">$N$6</f>
        <v>0.3</v>
      </c>
      <c r="L341" s="129" t="n">
        <f aca="false">ROUNDUP(H341*I341*K341,0)</f>
        <v>0</v>
      </c>
      <c r="M341" s="135" t="n">
        <f aca="false">P341</f>
        <v>86</v>
      </c>
      <c r="N341" s="141" t="n">
        <f aca="false">ROUND(L341*M341,2)</f>
        <v>0</v>
      </c>
      <c r="O341" s="137" t="n">
        <f aca="false">INT(H341*I341)</f>
        <v>0</v>
      </c>
      <c r="P341" s="135" t="n">
        <f aca="false">IF(D341="","",VLOOKUP(D341,matriz_codigo_prezos,6,FALSE()))</f>
        <v>86</v>
      </c>
      <c r="Q341" s="138" t="n">
        <f aca="false">IF(O341="","",ROUND(O341*P341,2))</f>
        <v>0</v>
      </c>
      <c r="R341" s="199"/>
      <c r="S341" s="198"/>
    </row>
    <row r="342" customFormat="false" ht="13.8" hidden="false" customHeight="false" outlineLevel="0" collapsed="false">
      <c r="A342" s="128"/>
      <c r="B342" s="128"/>
      <c r="C342" s="36"/>
      <c r="D342" s="139" t="s">
        <v>258</v>
      </c>
      <c r="E342" s="130" t="str">
        <f aca="false">IF(D342="","",VLOOKUP(D342,matriz_codigo_prezos,2,FALSE()))</f>
        <v>Granulometría dos áridos extraídos UNE EN 12697-2 ou equivalente</v>
      </c>
      <c r="F342" s="131" t="n">
        <v>1</v>
      </c>
      <c r="G342" s="129" t="s">
        <v>256</v>
      </c>
      <c r="H342" s="132" t="n">
        <v>1</v>
      </c>
      <c r="I342" s="232" t="n">
        <f aca="false">IF( ISNUMBER(nmesturas_AC), nmesturas_AC*F342, 0*nmesturas_AC)</f>
        <v>0</v>
      </c>
      <c r="J342" s="233" t="s">
        <v>71</v>
      </c>
      <c r="K342" s="134" t="n">
        <f aca="false">$N$6</f>
        <v>0.3</v>
      </c>
      <c r="L342" s="129" t="n">
        <f aca="false">ROUNDUP(H342*I342*K342,0)</f>
        <v>0</v>
      </c>
      <c r="M342" s="135" t="n">
        <f aca="false">P342</f>
        <v>41</v>
      </c>
      <c r="N342" s="136" t="n">
        <f aca="false">ROUND(L342*M342,2)</f>
        <v>0</v>
      </c>
      <c r="O342" s="137" t="n">
        <f aca="false">INT(H342*I342)</f>
        <v>0</v>
      </c>
      <c r="P342" s="135" t="n">
        <f aca="false">IF(D342="","",VLOOKUP(D342,matriz_codigo_prezos,6,FALSE()))</f>
        <v>41</v>
      </c>
      <c r="Q342" s="138" t="n">
        <f aca="false">IF(O342="","",ROUND(O342*P342,2))</f>
        <v>0</v>
      </c>
      <c r="R342" s="199"/>
      <c r="S342" s="198"/>
    </row>
    <row r="343" customFormat="false" ht="17.9" hidden="false" customHeight="false" outlineLevel="0" collapsed="false">
      <c r="A343" s="128"/>
      <c r="B343" s="128"/>
      <c r="C343" s="36"/>
      <c r="D343" s="139" t="s">
        <v>259</v>
      </c>
      <c r="E343" s="130" t="str">
        <f aca="false">IF(D343="","",VLOOKUP(D343,matriz_codigo_prezos,2,FALSE()))</f>
        <v>Resistencia conservada a tracción indirecta tras inmersión UNE EN 12697-12 ou equivalente</v>
      </c>
      <c r="F343" s="131" t="n">
        <v>1</v>
      </c>
      <c r="G343" s="129" t="s">
        <v>256</v>
      </c>
      <c r="H343" s="132" t="n">
        <v>1</v>
      </c>
      <c r="I343" s="232" t="n">
        <f aca="false">IF( ISNUMBER(nmesturas_AC), nmesturas_AC*F343, 0*nmesturas_AC)</f>
        <v>0</v>
      </c>
      <c r="J343" s="233" t="s">
        <v>71</v>
      </c>
      <c r="K343" s="134" t="n">
        <f aca="false">$N$6</f>
        <v>0.3</v>
      </c>
      <c r="L343" s="129" t="n">
        <f aca="false">ROUNDUP(H343*I343*K343,0)</f>
        <v>0</v>
      </c>
      <c r="M343" s="135" t="n">
        <f aca="false">P343</f>
        <v>680</v>
      </c>
      <c r="N343" s="136" t="n">
        <f aca="false">ROUND(L343*M343,2)</f>
        <v>0</v>
      </c>
      <c r="O343" s="137" t="n">
        <f aca="false">INT(H343*I343)</f>
        <v>0</v>
      </c>
      <c r="P343" s="135" t="n">
        <f aca="false">IF(D343="","",VLOOKUP(D343,matriz_codigo_prezos,6,FALSE()))</f>
        <v>680</v>
      </c>
      <c r="Q343" s="138" t="n">
        <f aca="false">IF(O343="","",ROUND(O343*P343,2))</f>
        <v>0</v>
      </c>
      <c r="R343" s="199"/>
      <c r="S343" s="198"/>
    </row>
    <row r="344" customFormat="false" ht="17.9" hidden="false" customHeight="false" outlineLevel="0" collapsed="false">
      <c r="A344" s="128"/>
      <c r="B344" s="128"/>
      <c r="C344" s="36"/>
      <c r="D344" s="139" t="s">
        <v>260</v>
      </c>
      <c r="E344" s="130" t="str">
        <f aca="false">IF(D344="","",VLOOKUP(D344,matriz_codigo_prezos,2,FALSE()))</f>
        <v>Resistencia á deformación plástica mediante a pista de ensaio de laboratorio UNE EN 12697-22 ou equivalente</v>
      </c>
      <c r="F344" s="131" t="n">
        <v>1</v>
      </c>
      <c r="G344" s="129" t="s">
        <v>256</v>
      </c>
      <c r="H344" s="132" t="n">
        <v>1</v>
      </c>
      <c r="I344" s="232" t="n">
        <f aca="false">IF( ISNUMBER(nmesturas_AC), nmesturas_AC*F344, 0*nmesturas_AC)</f>
        <v>0</v>
      </c>
      <c r="J344" s="233" t="s">
        <v>71</v>
      </c>
      <c r="K344" s="134" t="n">
        <f aca="false">$N$6</f>
        <v>0.3</v>
      </c>
      <c r="L344" s="129" t="n">
        <f aca="false">ROUNDUP(H344*I344*K344,0)</f>
        <v>0</v>
      </c>
      <c r="M344" s="135" t="n">
        <f aca="false">P344</f>
        <v>483</v>
      </c>
      <c r="N344" s="136" t="n">
        <f aca="false">ROUND(L344*M344,2)</f>
        <v>0</v>
      </c>
      <c r="O344" s="137" t="n">
        <f aca="false">INT(H344*I344)</f>
        <v>0</v>
      </c>
      <c r="P344" s="135" t="n">
        <f aca="false">IF(D344="","",VLOOKUP(D344,matriz_codigo_prezos,6,FALSE()))</f>
        <v>483</v>
      </c>
      <c r="Q344" s="138" t="n">
        <f aca="false">IF(O344="","",ROUND(O344*P344,2))</f>
        <v>0</v>
      </c>
      <c r="R344" s="199"/>
      <c r="S344" s="198"/>
    </row>
    <row r="345" customFormat="false" ht="26.1" hidden="false" customHeight="false" outlineLevel="0" collapsed="false">
      <c r="A345" s="128"/>
      <c r="B345" s="128"/>
      <c r="C345" s="36"/>
      <c r="D345" s="139" t="s">
        <v>261</v>
      </c>
      <c r="E345" s="130" t="str">
        <f aca="false">IF(D345="","",VLOOKUP(D345,matriz_codigo_prezos,2,FALSE()))</f>
        <v>Extracción probeta-testemuña en mestura bituminosa con diámetro 100 mm e determinación da densidade e espesor UNE-EN 12697-6 ou equivalente. Mínimo facturable 3 testemuñas</v>
      </c>
      <c r="F345" s="256" t="n">
        <v>1</v>
      </c>
      <c r="G345" s="129" t="s">
        <v>256</v>
      </c>
      <c r="H345" s="132" t="n">
        <v>1</v>
      </c>
      <c r="I345" s="232" t="n">
        <f aca="false">IF( ISNUMBER(nmesturas_AC), nmesturas_AC*F345, 0*nmesturas_AC)</f>
        <v>0</v>
      </c>
      <c r="J345" s="233" t="s">
        <v>71</v>
      </c>
      <c r="K345" s="134" t="n">
        <f aca="false">$N$6</f>
        <v>0.3</v>
      </c>
      <c r="L345" s="129" t="n">
        <f aca="false">IF(  I345&lt;&gt;0,  MAX( 3, ROUNDUP(H345*I345*K345,0) ), 0   )</f>
        <v>0</v>
      </c>
      <c r="M345" s="135" t="n">
        <f aca="false">P345</f>
        <v>79</v>
      </c>
      <c r="N345" s="136" t="n">
        <f aca="false">ROUND(L345*M345,2)</f>
        <v>0</v>
      </c>
      <c r="O345" s="137" t="n">
        <f aca="false">IF(  I345&lt;&gt;0,  MAX( 3, INT(H345*I345) ),  0  )</f>
        <v>0</v>
      </c>
      <c r="P345" s="135" t="n">
        <f aca="false">IF(D345="","",VLOOKUP(D345,matriz_codigo_prezos,6,FALSE()))</f>
        <v>79</v>
      </c>
      <c r="Q345" s="138" t="n">
        <f aca="false">IF(O345="","",ROUND(O345*P345,2))</f>
        <v>0</v>
      </c>
      <c r="R345" s="203" t="s">
        <v>262</v>
      </c>
      <c r="S345" s="198"/>
    </row>
    <row r="346" customFormat="false" ht="26.1" hidden="false" customHeight="false" outlineLevel="0" collapsed="false">
      <c r="A346" s="128"/>
      <c r="B346" s="128"/>
      <c r="C346" s="36"/>
      <c r="D346" s="139" t="s">
        <v>263</v>
      </c>
      <c r="E346" s="130" t="str">
        <f aca="false">IF(D346="","",VLOOKUP(D346,matriz_codigo_prezos,2,FALSE()))</f>
        <v>Xornada de determinación “in situ” da resistencia ao deslizamento con péndulo TRRL sobre pavimento acabado e en condicións de uso, incluída a redacción de informe. UNE EN 13036-4 ou equivalente</v>
      </c>
      <c r="F346" s="256" t="n">
        <v>1</v>
      </c>
      <c r="G346" s="129" t="s">
        <v>256</v>
      </c>
      <c r="H346" s="132" t="n">
        <v>1</v>
      </c>
      <c r="I346" s="232" t="n">
        <f aca="false">IF(   AND(act_rodadura=1, nmesturas_AC &gt;0 ), INT(F346),  0*nmesturas_AC   )</f>
        <v>0</v>
      </c>
      <c r="J346" s="233" t="s">
        <v>71</v>
      </c>
      <c r="K346" s="134" t="n">
        <f aca="false">$N$6</f>
        <v>0.3</v>
      </c>
      <c r="L346" s="129" t="n">
        <f aca="false">ROUNDUP(H346*I346*K346,0)</f>
        <v>0</v>
      </c>
      <c r="M346" s="135" t="n">
        <f aca="false">P346</f>
        <v>650</v>
      </c>
      <c r="N346" s="136" t="n">
        <f aca="false">ROUND(L346*M346,2)</f>
        <v>0</v>
      </c>
      <c r="O346" s="137" t="n">
        <f aca="false">INT(H346*I346)</f>
        <v>0</v>
      </c>
      <c r="P346" s="135" t="n">
        <f aca="false">IF(D346="","",VLOOKUP(D346,matriz_codigo_prezos,6,FALSE()))</f>
        <v>650</v>
      </c>
      <c r="Q346" s="138" t="n">
        <f aca="false">IF(O346="","",ROUND(O346*P346,2))</f>
        <v>0</v>
      </c>
      <c r="R346" s="203" t="s">
        <v>264</v>
      </c>
      <c r="S346" s="198"/>
    </row>
    <row r="347" customFormat="false" ht="17.9" hidden="false" customHeight="false" outlineLevel="0" collapsed="false">
      <c r="A347" s="128"/>
      <c r="B347" s="128"/>
      <c r="C347" s="36"/>
      <c r="D347" s="139" t="s">
        <v>265</v>
      </c>
      <c r="E347" s="130" t="str">
        <f aca="false">IF(D347="","",VLOOKUP(D347,matriz_codigo_prezos,2,FALSE()))</f>
        <v>Macrotextura superficial mediante círculo de area en capa de rodadura UNE EN 13036-1 ou equivalente</v>
      </c>
      <c r="F347" s="256" t="n">
        <v>1</v>
      </c>
      <c r="G347" s="129" t="s">
        <v>256</v>
      </c>
      <c r="H347" s="132" t="n">
        <v>3</v>
      </c>
      <c r="I347" s="232" t="n">
        <f aca="false">IF(   AND(act_rodadura=1, nmesturas_AC &gt;0 ), INT(F347),  0*nmesturas_AC   )</f>
        <v>0</v>
      </c>
      <c r="J347" s="233" t="s">
        <v>71</v>
      </c>
      <c r="K347" s="134" t="n">
        <f aca="false">$N$6</f>
        <v>0.3</v>
      </c>
      <c r="L347" s="129" t="n">
        <f aca="false">IF(  I347&lt;&gt;0,  MAX( 3, ROUNDUP(H347*I347*K347,0) ), 0   )</f>
        <v>0</v>
      </c>
      <c r="M347" s="135" t="n">
        <f aca="false">P347</f>
        <v>69</v>
      </c>
      <c r="N347" s="136" t="n">
        <f aca="false">ROUND(L347*M347,2)</f>
        <v>0</v>
      </c>
      <c r="O347" s="137" t="n">
        <f aca="false">INT(H347*I347)</f>
        <v>0</v>
      </c>
      <c r="P347" s="135" t="n">
        <f aca="false">IF(D347="","",VLOOKUP(D347,matriz_codigo_prezos,6,FALSE()))</f>
        <v>69</v>
      </c>
      <c r="Q347" s="138" t="n">
        <f aca="false">IF(O347="","",ROUND(O347*P347,2))</f>
        <v>0</v>
      </c>
      <c r="R347" s="203" t="s">
        <v>266</v>
      </c>
      <c r="S347" s="198"/>
    </row>
    <row r="348" customFormat="false" ht="40.25" hidden="false" customHeight="false" outlineLevel="0" collapsed="false">
      <c r="A348" s="207" t="s">
        <v>267</v>
      </c>
      <c r="B348" s="106"/>
      <c r="C348" s="106"/>
      <c r="D348" s="207"/>
      <c r="E348" s="208"/>
      <c r="F348" s="207"/>
      <c r="G348" s="209"/>
      <c r="H348" s="209"/>
      <c r="I348" s="235"/>
      <c r="J348" s="236"/>
      <c r="K348" s="134"/>
      <c r="L348" s="129"/>
      <c r="M348" s="135"/>
      <c r="N348" s="136"/>
      <c r="O348" s="137"/>
      <c r="P348" s="135"/>
      <c r="Q348" s="138"/>
      <c r="R348" s="224"/>
      <c r="S348" s="198"/>
    </row>
    <row r="349" customFormat="false" ht="34.3" hidden="false" customHeight="false" outlineLevel="0" collapsed="false">
      <c r="A349" s="115"/>
      <c r="B349" s="116" t="s">
        <v>194</v>
      </c>
      <c r="C349" s="148" t="s">
        <v>268</v>
      </c>
      <c r="D349" s="118"/>
      <c r="E349" s="119"/>
      <c r="F349" s="118"/>
      <c r="G349" s="120"/>
      <c r="H349" s="120"/>
      <c r="I349" s="120"/>
      <c r="J349" s="167"/>
      <c r="K349" s="229"/>
      <c r="L349" s="129"/>
      <c r="M349" s="135"/>
      <c r="N349" s="141"/>
      <c r="O349" s="137"/>
      <c r="P349" s="135"/>
      <c r="Q349" s="136"/>
      <c r="R349" s="197"/>
      <c r="S349" s="198"/>
    </row>
    <row r="350" customFormat="false" ht="13.8" hidden="false" customHeight="false" outlineLevel="0" collapsed="false">
      <c r="A350" s="128"/>
      <c r="B350" s="128"/>
      <c r="C350" s="205" t="s">
        <v>269</v>
      </c>
      <c r="D350" s="139"/>
      <c r="E350" s="130"/>
      <c r="F350" s="131"/>
      <c r="G350" s="129"/>
      <c r="H350" s="132"/>
      <c r="I350" s="232"/>
      <c r="J350" s="236"/>
      <c r="K350" s="243"/>
      <c r="L350" s="129"/>
      <c r="M350" s="135"/>
      <c r="N350" s="136"/>
      <c r="O350" s="137"/>
      <c r="P350" s="135"/>
      <c r="Q350" s="138"/>
      <c r="R350" s="199"/>
      <c r="S350" s="198"/>
    </row>
    <row r="351" customFormat="false" ht="17.9" hidden="false" customHeight="false" outlineLevel="0" collapsed="false">
      <c r="A351" s="128"/>
      <c r="B351" s="128"/>
      <c r="C351" s="36"/>
      <c r="D351" s="139" t="s">
        <v>257</v>
      </c>
      <c r="E351" s="130" t="str">
        <f aca="false">IF(D351="","",VLOOKUP(D351,matriz_codigo_prezos,2,FALSE()))</f>
        <v>Determinación do contido de ligante da mestura UNE EN 12697-1 ou equivalente</v>
      </c>
      <c r="F351" s="131" t="n">
        <v>500</v>
      </c>
      <c r="G351" s="129" t="s">
        <v>194</v>
      </c>
      <c r="H351" s="132" t="n">
        <v>1</v>
      </c>
      <c r="I351" s="232" t="n">
        <f aca="false">IF($A$349="",0, ROUNDUP($A$349/F351,0))</f>
        <v>0</v>
      </c>
      <c r="J351" s="233" t="s">
        <v>71</v>
      </c>
      <c r="K351" s="134" t="n">
        <f aca="false">$N$6</f>
        <v>0.3</v>
      </c>
      <c r="L351" s="129" t="n">
        <f aca="false">ROUNDUP(H351*I351*K351,0)</f>
        <v>0</v>
      </c>
      <c r="M351" s="135" t="n">
        <f aca="false">P351</f>
        <v>86</v>
      </c>
      <c r="N351" s="136" t="n">
        <f aca="false">ROUND(L351*M351,2)</f>
        <v>0</v>
      </c>
      <c r="O351" s="137" t="n">
        <f aca="false">INT(+I351*H351)</f>
        <v>0</v>
      </c>
      <c r="P351" s="135" t="n">
        <f aca="false">IF(D351="","",VLOOKUP(D351,matriz_codigo_prezos,6,FALSE()))</f>
        <v>86</v>
      </c>
      <c r="Q351" s="138" t="n">
        <f aca="false">IF(O351="","",ROUND(O351*P351,2))</f>
        <v>0</v>
      </c>
      <c r="R351" s="231" t="s">
        <v>270</v>
      </c>
      <c r="S351" s="198"/>
    </row>
    <row r="352" customFormat="false" ht="13.8" hidden="false" customHeight="false" outlineLevel="0" collapsed="false">
      <c r="A352" s="128"/>
      <c r="B352" s="128"/>
      <c r="C352" s="36"/>
      <c r="D352" s="139" t="s">
        <v>258</v>
      </c>
      <c r="E352" s="130" t="str">
        <f aca="false">IF(D352="","",VLOOKUP(D352,matriz_codigo_prezos,2,FALSE()))</f>
        <v>Granulometría dos áridos extraídos UNE EN 12697-2 ou equivalente</v>
      </c>
      <c r="F352" s="131" t="n">
        <v>500</v>
      </c>
      <c r="G352" s="129" t="s">
        <v>194</v>
      </c>
      <c r="H352" s="132" t="n">
        <v>1</v>
      </c>
      <c r="I352" s="232" t="n">
        <f aca="false">IF($A$349="",0, ROUNDUP($A$349/F352,0))</f>
        <v>0</v>
      </c>
      <c r="J352" s="233" t="s">
        <v>71</v>
      </c>
      <c r="K352" s="134" t="n">
        <f aca="false">$N$6</f>
        <v>0.3</v>
      </c>
      <c r="L352" s="129" t="n">
        <f aca="false">ROUNDUP(H352*I352*K352,0)</f>
        <v>0</v>
      </c>
      <c r="M352" s="135" t="n">
        <f aca="false">P352</f>
        <v>41</v>
      </c>
      <c r="N352" s="136" t="n">
        <f aca="false">ROUND(L352*M352,2)</f>
        <v>0</v>
      </c>
      <c r="O352" s="137" t="n">
        <f aca="false">INT(+I352*H352)</f>
        <v>0</v>
      </c>
      <c r="P352" s="135" t="n">
        <f aca="false">IF(D352="","",VLOOKUP(D352,matriz_codigo_prezos,6,FALSE()))</f>
        <v>41</v>
      </c>
      <c r="Q352" s="138" t="n">
        <f aca="false">IF(O352="","",ROUND(O352*P352,2))</f>
        <v>0</v>
      </c>
      <c r="R352" s="231"/>
      <c r="S352" s="198"/>
    </row>
    <row r="353" customFormat="false" ht="13.8" hidden="false" customHeight="false" outlineLevel="0" collapsed="false">
      <c r="A353" s="128"/>
      <c r="B353" s="128"/>
      <c r="C353" s="205" t="s">
        <v>271</v>
      </c>
      <c r="D353" s="139"/>
      <c r="E353" s="130"/>
      <c r="F353" s="131"/>
      <c r="G353" s="129"/>
      <c r="H353" s="132"/>
      <c r="I353" s="232"/>
      <c r="J353" s="236"/>
      <c r="K353" s="243"/>
      <c r="L353" s="129"/>
      <c r="M353" s="135"/>
      <c r="N353" s="136"/>
      <c r="O353" s="137"/>
      <c r="P353" s="135"/>
      <c r="Q353" s="138"/>
      <c r="R353" s="199"/>
      <c r="S353" s="198"/>
    </row>
    <row r="354" customFormat="false" ht="17.9" hidden="false" customHeight="false" outlineLevel="0" collapsed="false">
      <c r="A354" s="128"/>
      <c r="B354" s="128"/>
      <c r="C354" s="36"/>
      <c r="D354" s="139" t="s">
        <v>259</v>
      </c>
      <c r="E354" s="130" t="str">
        <f aca="false">IF(D354="","",VLOOKUP(D354,matriz_codigo_prezos,2,FALSE()))</f>
        <v>Resistencia conservada a tracción indirecta tras inmersión UNE EN 12697-12 ou equivalente</v>
      </c>
      <c r="F354" s="131" t="n">
        <v>24000</v>
      </c>
      <c r="G354" s="129" t="s">
        <v>194</v>
      </c>
      <c r="H354" s="132" t="n">
        <v>1</v>
      </c>
      <c r="I354" s="232" t="n">
        <f aca="false">IF($A$349="",0, ROUNDUP($A$349/F354,0))</f>
        <v>0</v>
      </c>
      <c r="J354" s="233" t="s">
        <v>71</v>
      </c>
      <c r="K354" s="134" t="n">
        <f aca="false">$N$6</f>
        <v>0.3</v>
      </c>
      <c r="L354" s="129" t="n">
        <f aca="false">ROUNDUP(H354*I354*K354,0)</f>
        <v>0</v>
      </c>
      <c r="M354" s="135" t="n">
        <f aca="false">P354</f>
        <v>680</v>
      </c>
      <c r="N354" s="136" t="n">
        <f aca="false">ROUND(L354*M354,2)</f>
        <v>0</v>
      </c>
      <c r="O354" s="137" t="n">
        <f aca="false">INT(+I354*H354)</f>
        <v>0</v>
      </c>
      <c r="P354" s="135" t="n">
        <f aca="false">IF(D354="","",VLOOKUP(D354,matriz_codigo_prezos,6,FALSE()))</f>
        <v>680</v>
      </c>
      <c r="Q354" s="138" t="n">
        <f aca="false">IF(O354="","",ROUND(O354*P354,2))</f>
        <v>0</v>
      </c>
      <c r="R354" s="224"/>
      <c r="S354" s="198"/>
    </row>
    <row r="355" customFormat="false" ht="13.8" hidden="false" customHeight="false" outlineLevel="0" collapsed="false">
      <c r="A355" s="106" t="s">
        <v>272</v>
      </c>
      <c r="B355" s="106"/>
      <c r="C355" s="106"/>
      <c r="D355" s="106"/>
      <c r="E355" s="107"/>
      <c r="F355" s="106"/>
      <c r="G355" s="108"/>
      <c r="H355" s="108"/>
      <c r="I355" s="240"/>
      <c r="J355" s="236"/>
      <c r="K355" s="134"/>
      <c r="L355" s="129"/>
      <c r="M355" s="135"/>
      <c r="N355" s="136"/>
      <c r="O355" s="137"/>
      <c r="P355" s="135"/>
      <c r="Q355" s="138"/>
      <c r="R355" s="224"/>
      <c r="S355" s="198"/>
    </row>
    <row r="356" customFormat="false" ht="58.95" hidden="false" customHeight="false" outlineLevel="0" collapsed="false">
      <c r="A356" s="115"/>
      <c r="B356" s="116" t="s">
        <v>135</v>
      </c>
      <c r="C356" s="148" t="s">
        <v>273</v>
      </c>
      <c r="D356" s="118"/>
      <c r="E356" s="119"/>
      <c r="F356" s="118"/>
      <c r="G356" s="120"/>
      <c r="H356" s="120"/>
      <c r="I356" s="120"/>
      <c r="J356" s="167"/>
      <c r="K356" s="229"/>
      <c r="L356" s="129"/>
      <c r="M356" s="135"/>
      <c r="N356" s="136"/>
      <c r="O356" s="137"/>
      <c r="P356" s="135"/>
      <c r="Q356" s="136"/>
      <c r="R356" s="197"/>
      <c r="S356" s="198"/>
    </row>
    <row r="357" customFormat="false" ht="26.1" hidden="false" customHeight="false" outlineLevel="0" collapsed="false">
      <c r="A357" s="128"/>
      <c r="B357" s="128"/>
      <c r="C357" s="36"/>
      <c r="D357" s="139" t="s">
        <v>255</v>
      </c>
      <c r="E357" s="130" t="str">
        <f aca="false">IF(D357="","",VLOOKUP(D357,matriz_codigo_prezos,2,FALSE()))</f>
        <v>Fabricación de 3 probetas e determinación da densidade máxima, da densidade aparente e do contido de ocos UNE EN 12697-5, 6, 8 ,30 y 32 ou equivalente</v>
      </c>
      <c r="F357" s="131" t="n">
        <v>500</v>
      </c>
      <c r="G357" s="129" t="s">
        <v>135</v>
      </c>
      <c r="H357" s="132" t="n">
        <v>1</v>
      </c>
      <c r="I357" s="232" t="n">
        <f aca="false">IF($A$356="",0,  ROUNDUP($A$356/F357,0) )</f>
        <v>0</v>
      </c>
      <c r="J357" s="233" t="s">
        <v>71</v>
      </c>
      <c r="K357" s="134" t="n">
        <f aca="false">$N$6</f>
        <v>0.3</v>
      </c>
      <c r="L357" s="129" t="n">
        <f aca="false">ROUNDUP(H357*I357*K357,0)</f>
        <v>0</v>
      </c>
      <c r="M357" s="135" t="n">
        <f aca="false">P357</f>
        <v>183</v>
      </c>
      <c r="N357" s="136" t="n">
        <f aca="false">ROUND(L357*M357,2)</f>
        <v>0</v>
      </c>
      <c r="O357" s="137" t="n">
        <f aca="false">INT(H357*I357)</f>
        <v>0</v>
      </c>
      <c r="P357" s="135" t="n">
        <f aca="false">IF(D357="","",VLOOKUP(D357,matriz_codigo_prezos,6,FALSE()))</f>
        <v>183</v>
      </c>
      <c r="Q357" s="138" t="n">
        <f aca="false">IF(O357="","",ROUND(O357*P357,2))</f>
        <v>0</v>
      </c>
      <c r="R357" s="199"/>
      <c r="S357" s="198"/>
    </row>
    <row r="358" customFormat="false" ht="17.9" hidden="false" customHeight="false" outlineLevel="0" collapsed="false">
      <c r="A358" s="128"/>
      <c r="B358" s="128"/>
      <c r="C358" s="36"/>
      <c r="D358" s="139" t="s">
        <v>257</v>
      </c>
      <c r="E358" s="130" t="str">
        <f aca="false">IF(D358="","",VLOOKUP(D358,matriz_codigo_prezos,2,FALSE()))</f>
        <v>Determinación do contido de ligante da mestura UNE EN 12697-1 ou equivalente</v>
      </c>
      <c r="F358" s="131" t="n">
        <v>500</v>
      </c>
      <c r="G358" s="129" t="s">
        <v>135</v>
      </c>
      <c r="H358" s="132" t="n">
        <v>1</v>
      </c>
      <c r="I358" s="232" t="n">
        <f aca="false">IF($A$356="",0,  ROUNDUP($A$356/F358,0) )</f>
        <v>0</v>
      </c>
      <c r="J358" s="233" t="s">
        <v>71</v>
      </c>
      <c r="K358" s="134" t="n">
        <f aca="false">$N$6</f>
        <v>0.3</v>
      </c>
      <c r="L358" s="129" t="n">
        <f aca="false">ROUNDUP(H358*I358*K358,0)</f>
        <v>0</v>
      </c>
      <c r="M358" s="135" t="n">
        <f aca="false">P358</f>
        <v>86</v>
      </c>
      <c r="N358" s="136" t="n">
        <f aca="false">ROUND(L358*M358,2)</f>
        <v>0</v>
      </c>
      <c r="O358" s="137" t="n">
        <f aca="false">INT(H358*I358)</f>
        <v>0</v>
      </c>
      <c r="P358" s="135" t="n">
        <f aca="false">IF(D358="","",VLOOKUP(D358,matriz_codigo_prezos,6,FALSE()))</f>
        <v>86</v>
      </c>
      <c r="Q358" s="138" t="n">
        <f aca="false">IF(O358="","",ROUND(O358*P358,2))</f>
        <v>0</v>
      </c>
      <c r="R358" s="199"/>
      <c r="S358" s="198"/>
    </row>
    <row r="359" customFormat="false" ht="13.8" hidden="false" customHeight="false" outlineLevel="0" collapsed="false">
      <c r="A359" s="128"/>
      <c r="B359" s="128"/>
      <c r="C359" s="36"/>
      <c r="D359" s="139" t="s">
        <v>258</v>
      </c>
      <c r="E359" s="130" t="str">
        <f aca="false">IF(D359="","",VLOOKUP(D359,matriz_codigo_prezos,2,FALSE()))</f>
        <v>Granulometría dos áridos extraídos UNE EN 12697-2 ou equivalente</v>
      </c>
      <c r="F359" s="131" t="n">
        <v>500</v>
      </c>
      <c r="G359" s="129" t="s">
        <v>135</v>
      </c>
      <c r="H359" s="132" t="n">
        <v>1</v>
      </c>
      <c r="I359" s="232" t="n">
        <f aca="false">IF($A$356="",0,  ROUNDUP($A$356/F359,0) )</f>
        <v>0</v>
      </c>
      <c r="J359" s="233" t="s">
        <v>71</v>
      </c>
      <c r="K359" s="134" t="n">
        <f aca="false">$N$6</f>
        <v>0.3</v>
      </c>
      <c r="L359" s="129" t="n">
        <f aca="false">ROUNDUP(H359*I359*K359,0)</f>
        <v>0</v>
      </c>
      <c r="M359" s="135" t="n">
        <f aca="false">P359</f>
        <v>41</v>
      </c>
      <c r="N359" s="136" t="n">
        <f aca="false">ROUND(L359*M359,2)</f>
        <v>0</v>
      </c>
      <c r="O359" s="137" t="n">
        <f aca="false">INT(H359*I359)</f>
        <v>0</v>
      </c>
      <c r="P359" s="135" t="n">
        <f aca="false">IF(D359="","",VLOOKUP(D359,matriz_codigo_prezos,6,FALSE()))</f>
        <v>41</v>
      </c>
      <c r="Q359" s="138" t="n">
        <f aca="false">IF(O359="","",ROUND(O359*P359,2))</f>
        <v>0</v>
      </c>
      <c r="R359" s="199"/>
      <c r="S359" s="198"/>
    </row>
    <row r="360" customFormat="false" ht="13.8" hidden="false" customHeight="false" outlineLevel="0" collapsed="false">
      <c r="A360" s="106" t="s">
        <v>274</v>
      </c>
      <c r="B360" s="106"/>
      <c r="C360" s="106"/>
      <c r="D360" s="106"/>
      <c r="E360" s="107" t="str">
        <f aca="false">IF(D360="","",VLOOKUP(D360,matriz_codigo_prezos,2,FALSE()))</f>
        <v/>
      </c>
      <c r="F360" s="106"/>
      <c r="G360" s="108"/>
      <c r="H360" s="108"/>
      <c r="I360" s="240"/>
      <c r="J360" s="236"/>
      <c r="K360" s="228"/>
      <c r="L360" s="129"/>
      <c r="M360" s="135"/>
      <c r="N360" s="136"/>
      <c r="O360" s="137"/>
      <c r="P360" s="135"/>
      <c r="Q360" s="138"/>
      <c r="R360" s="199"/>
      <c r="S360" s="198"/>
    </row>
    <row r="361" customFormat="false" ht="42.5" hidden="false" customHeight="false" outlineLevel="0" collapsed="false">
      <c r="A361" s="115"/>
      <c r="B361" s="116" t="s">
        <v>135</v>
      </c>
      <c r="C361" s="148" t="s">
        <v>275</v>
      </c>
      <c r="D361" s="118"/>
      <c r="E361" s="119"/>
      <c r="F361" s="244"/>
      <c r="G361" s="129"/>
      <c r="H361" s="157"/>
      <c r="I361" s="133"/>
      <c r="J361" s="167"/>
      <c r="K361" s="143"/>
      <c r="L361" s="129"/>
      <c r="M361" s="135"/>
      <c r="N361" s="136"/>
      <c r="O361" s="137"/>
      <c r="P361" s="135"/>
      <c r="Q361" s="136"/>
      <c r="R361" s="197"/>
      <c r="S361" s="198"/>
    </row>
    <row r="362" customFormat="false" ht="26.1" hidden="false" customHeight="false" outlineLevel="0" collapsed="false">
      <c r="A362" s="128"/>
      <c r="B362" s="128"/>
      <c r="C362" s="36"/>
      <c r="D362" s="139" t="s">
        <v>261</v>
      </c>
      <c r="E362" s="130" t="str">
        <f aca="false">IF(D362="","",VLOOKUP(D362,matriz_codigo_prezos,2,FALSE()))</f>
        <v>Extracción probeta-testemuña en mestura bituminosa con diámetro 100 mm e determinación da densidade e espesor UNE-EN 12697-6 ou equivalente. Mínimo facturable 3 testemuñas</v>
      </c>
      <c r="F362" s="256" t="n">
        <v>500</v>
      </c>
      <c r="G362" s="129" t="s">
        <v>135</v>
      </c>
      <c r="H362" s="132" t="n">
        <v>3</v>
      </c>
      <c r="I362" s="232" t="n">
        <f aca="false">IF($A$361="",0,  ROUNDUP($A$361/F362,0)*ncapas_AC )</f>
        <v>0</v>
      </c>
      <c r="J362" s="233" t="s">
        <v>71</v>
      </c>
      <c r="K362" s="134" t="n">
        <f aca="false">$N$6</f>
        <v>0.3</v>
      </c>
      <c r="L362" s="129" t="n">
        <f aca="false">3*ROUNDUP( H362*I362*K362 / 3,0)</f>
        <v>0</v>
      </c>
      <c r="M362" s="135" t="n">
        <f aca="false">P362</f>
        <v>79</v>
      </c>
      <c r="N362" s="136" t="n">
        <f aca="false">ROUND(L362*M362,2)</f>
        <v>0</v>
      </c>
      <c r="O362" s="137" t="n">
        <f aca="false">INT(H362*I362)</f>
        <v>0</v>
      </c>
      <c r="P362" s="135" t="n">
        <f aca="false">IF(D362="","",VLOOKUP(D362,matriz_codigo_prezos,6,FALSE()))</f>
        <v>79</v>
      </c>
      <c r="Q362" s="138" t="n">
        <f aca="false">IF(O362="","",ROUND(O362*P362,2))</f>
        <v>0</v>
      </c>
      <c r="R362" s="203" t="s">
        <v>276</v>
      </c>
      <c r="S362" s="198"/>
    </row>
    <row r="363" customFormat="false" ht="17.9" hidden="false" customHeight="false" outlineLevel="0" collapsed="false">
      <c r="A363" s="128"/>
      <c r="B363" s="128"/>
      <c r="C363" s="36"/>
      <c r="D363" s="139" t="s">
        <v>277</v>
      </c>
      <c r="E363" s="130" t="str">
        <f aca="false">IF(D363="","",VLOOKUP(D363,matriz_codigo_prezos,2,FALSE()))</f>
        <v>Avaliación da adherencia entre capas de firme mediante ensaios de corte NLT-382 ou equivalente</v>
      </c>
      <c r="F363" s="256" t="n">
        <v>500</v>
      </c>
      <c r="G363" s="129" t="s">
        <v>135</v>
      </c>
      <c r="H363" s="234" t="n">
        <v>3</v>
      </c>
      <c r="I363" s="232" t="n">
        <f aca="false">IF(  OR( act_rodadura=1,act_intermedia=1),  ROUNDUP($A$361/F363,0) *(act_rodadura+act_intermedia  ), 0)</f>
        <v>0</v>
      </c>
      <c r="J363" s="233" t="s">
        <v>71</v>
      </c>
      <c r="K363" s="134" t="n">
        <f aca="false">$N$6</f>
        <v>0.3</v>
      </c>
      <c r="L363" s="129" t="n">
        <f aca="false">ROUNDUP(H363*I363*K363,0)</f>
        <v>0</v>
      </c>
      <c r="M363" s="135" t="n">
        <f aca="false">P363</f>
        <v>69</v>
      </c>
      <c r="N363" s="136" t="n">
        <f aca="false">ROUND(L363*M363,2)</f>
        <v>0</v>
      </c>
      <c r="O363" s="137" t="n">
        <f aca="false">INT(H363*I363)</f>
        <v>0</v>
      </c>
      <c r="P363" s="135" t="n">
        <f aca="false">IF(D363="","",VLOOKUP(D363,matriz_codigo_prezos,6,FALSE()))</f>
        <v>69</v>
      </c>
      <c r="Q363" s="138" t="n">
        <f aca="false">IF(O363="","",ROUND(O363*P363,2))</f>
        <v>0</v>
      </c>
      <c r="R363" s="203" t="s">
        <v>278</v>
      </c>
      <c r="S363" s="198"/>
    </row>
    <row r="364" customFormat="false" ht="17.9" hidden="false" customHeight="false" outlineLevel="0" collapsed="false">
      <c r="A364" s="128"/>
      <c r="B364" s="128"/>
      <c r="C364" s="36"/>
      <c r="D364" s="139" t="s">
        <v>265</v>
      </c>
      <c r="E364" s="130" t="str">
        <f aca="false">IF(D364="","",VLOOKUP(D364,matriz_codigo_prezos,2,FALSE()))</f>
        <v>Macrotextura superficial mediante círculo de area en capa de rodadura UNE EN 13036-1 ou equivalente</v>
      </c>
      <c r="F364" s="256" t="n">
        <v>500</v>
      </c>
      <c r="G364" s="129" t="s">
        <v>135</v>
      </c>
      <c r="H364" s="132" t="n">
        <v>3</v>
      </c>
      <c r="I364" s="232" t="n">
        <f aca="false">IF( AND( $A$361&gt;=0, act_rodadura=1),  ROUNDUP($A$361/F364,0), 0 )</f>
        <v>0</v>
      </c>
      <c r="J364" s="233" t="s">
        <v>71</v>
      </c>
      <c r="K364" s="134" t="n">
        <v>1</v>
      </c>
      <c r="L364" s="129" t="n">
        <f aca="false">3*ROUNDUP(H364*I364*K364 /3,0)</f>
        <v>0</v>
      </c>
      <c r="M364" s="135" t="n">
        <f aca="false">P364</f>
        <v>69</v>
      </c>
      <c r="N364" s="136" t="n">
        <f aca="false">ROUND(L364*M364,2)</f>
        <v>0</v>
      </c>
      <c r="O364" s="137" t="n">
        <v>0</v>
      </c>
      <c r="P364" s="135" t="n">
        <f aca="false">IF(D364="","",VLOOKUP(D364,matriz_codigo_prezos,6,FALSE()))</f>
        <v>69</v>
      </c>
      <c r="Q364" s="138" t="n">
        <f aca="false">IF(O364="","",ROUND(O364*P364,2))</f>
        <v>0</v>
      </c>
      <c r="R364" s="203" t="s">
        <v>279</v>
      </c>
      <c r="S364" s="198"/>
    </row>
    <row r="365" customFormat="false" ht="13.8" hidden="false" customHeight="false" outlineLevel="0" collapsed="false">
      <c r="A365" s="115"/>
      <c r="B365" s="116" t="s">
        <v>280</v>
      </c>
      <c r="C365" s="246" t="s">
        <v>281</v>
      </c>
      <c r="D365" s="118"/>
      <c r="E365" s="119"/>
      <c r="F365" s="131"/>
      <c r="G365" s="129"/>
      <c r="H365" s="132"/>
      <c r="I365" s="133"/>
      <c r="J365" s="167"/>
      <c r="K365" s="204"/>
      <c r="L365" s="129"/>
      <c r="M365" s="135"/>
      <c r="N365" s="136"/>
      <c r="O365" s="137"/>
      <c r="P365" s="135"/>
      <c r="Q365" s="136"/>
      <c r="R365" s="219" t="s">
        <v>137</v>
      </c>
      <c r="S365" s="198"/>
    </row>
    <row r="366" customFormat="false" ht="26.1" hidden="false" customHeight="false" outlineLevel="0" collapsed="false">
      <c r="A366" s="128"/>
      <c r="B366" s="128"/>
      <c r="C366" s="36"/>
      <c r="D366" s="139" t="s">
        <v>138</v>
      </c>
      <c r="E366" s="130" t="str">
        <f aca="false">IF(D366="","",VLOOKUP(D366,matriz_codigo_prezos,2,FALSE()))</f>
        <v>Unidade de movilización e desprazamento de perfilómetro láser, e informe de cálculo do índice de regularidade internacional IRI en pavimentos de estradas, NLT-330 ou equivalente</v>
      </c>
      <c r="F366" s="139"/>
      <c r="G366" s="129" t="s">
        <v>139</v>
      </c>
      <c r="H366" s="157" t="n">
        <v>1</v>
      </c>
      <c r="I366" s="232" t="n">
        <f aca="false">IF($A$365="",0, ncapas_AC)</f>
        <v>0</v>
      </c>
      <c r="J366" s="233" t="s">
        <v>71</v>
      </c>
      <c r="K366" s="134" t="n">
        <v>1</v>
      </c>
      <c r="L366" s="129" t="n">
        <f aca="false">ROUNDUP(H366*I366*K366,0)</f>
        <v>0</v>
      </c>
      <c r="M366" s="135" t="n">
        <f aca="false">P366</f>
        <v>2530</v>
      </c>
      <c r="N366" s="136" t="n">
        <f aca="false">ROUND(L366*M366,2)</f>
        <v>0</v>
      </c>
      <c r="O366" s="137" t="n">
        <v>0</v>
      </c>
      <c r="P366" s="135" t="n">
        <f aca="false">IF(D366="","",VLOOKUP(D366,matriz_codigo_prezos,6,FALSE()))</f>
        <v>2530</v>
      </c>
      <c r="Q366" s="138" t="n">
        <f aca="false">IF(O366="","",ROUND(O366*P366,2))</f>
        <v>0</v>
      </c>
      <c r="R366" s="199"/>
      <c r="S366" s="198"/>
    </row>
    <row r="367" customFormat="false" ht="13.8" hidden="false" customHeight="false" outlineLevel="0" collapsed="false">
      <c r="A367" s="230"/>
      <c r="B367" s="230"/>
      <c r="C367" s="211"/>
      <c r="D367" s="139" t="s">
        <v>141</v>
      </c>
      <c r="E367" s="130" t="str">
        <f aca="false">IF(D367="","",VLOOKUP(D367,matriz_codigo_prezos,2,FALSE()))</f>
        <v>Km. de medida con perfilómetro láser para cálculo de IRI</v>
      </c>
      <c r="F367" s="212" t="n">
        <v>1000</v>
      </c>
      <c r="G367" s="213" t="s">
        <v>135</v>
      </c>
      <c r="H367" s="220" t="n">
        <v>1</v>
      </c>
      <c r="I367" s="232" t="n">
        <f aca="false">ROUNDUP($A$365/F367,0)*ncapas_AC</f>
        <v>0</v>
      </c>
      <c r="J367" s="233" t="s">
        <v>71</v>
      </c>
      <c r="K367" s="239" t="n">
        <v>1</v>
      </c>
      <c r="L367" s="129" t="n">
        <f aca="false">ROUNDUP(H367*I367*K367,0)</f>
        <v>0</v>
      </c>
      <c r="M367" s="135" t="n">
        <f aca="false">P367</f>
        <v>17</v>
      </c>
      <c r="N367" s="136" t="n">
        <f aca="false">ROUND(L367*M367,2)</f>
        <v>0</v>
      </c>
      <c r="O367" s="137" t="n">
        <v>0</v>
      </c>
      <c r="P367" s="135" t="n">
        <f aca="false">IF(D367="","",VLOOKUP(D367,matriz_codigo_prezos,6,FALSE()))</f>
        <v>17</v>
      </c>
      <c r="Q367" s="138" t="n">
        <f aca="false">IF(O367="","",ROUND(O367*P367,2))</f>
        <v>0</v>
      </c>
      <c r="R367" s="199"/>
      <c r="S367" s="215"/>
      <c r="T367" s="210"/>
      <c r="V367" s="210"/>
      <c r="W367" s="210"/>
      <c r="X367" s="210"/>
      <c r="Y367" s="210"/>
      <c r="Z367" s="210"/>
      <c r="AA367" s="210"/>
      <c r="AB367" s="210"/>
      <c r="AC367" s="168"/>
      <c r="AD367" s="168"/>
      <c r="AE367" s="168"/>
      <c r="AF367" s="168"/>
      <c r="AG367" s="168"/>
      <c r="AH367" s="168"/>
      <c r="AI367" s="168"/>
      <c r="AJ367" s="168"/>
      <c r="AK367" s="168"/>
      <c r="AL367" s="168"/>
      <c r="AM367" s="168"/>
      <c r="AN367" s="168"/>
      <c r="AO367" s="168"/>
      <c r="AP367" s="168"/>
      <c r="AQ367" s="168"/>
      <c r="AR367" s="168"/>
      <c r="AS367" s="168"/>
      <c r="AT367" s="168"/>
      <c r="AU367" s="168"/>
      <c r="AV367" s="168"/>
      <c r="AW367" s="168"/>
      <c r="AX367" s="168"/>
      <c r="AY367" s="168"/>
      <c r="AZ367" s="168"/>
      <c r="BA367" s="168"/>
      <c r="BB367" s="168"/>
      <c r="BC367" s="168"/>
      <c r="BD367" s="168"/>
      <c r="BE367" s="168"/>
      <c r="BF367" s="168"/>
      <c r="BG367" s="168"/>
      <c r="BH367" s="168"/>
      <c r="BI367" s="168"/>
      <c r="BJ367" s="168"/>
      <c r="BK367" s="168"/>
      <c r="BL367" s="168"/>
    </row>
    <row r="368" customFormat="false" ht="26.1" hidden="false" customHeight="false" outlineLevel="0" collapsed="false">
      <c r="A368" s="128"/>
      <c r="B368" s="128"/>
      <c r="C368" s="36"/>
      <c r="D368" s="139" t="s">
        <v>282</v>
      </c>
      <c r="E368" s="130" t="str">
        <f aca="false">IF(D368="","",VLOOKUP(D368,matriz_codigo_prezos,2,FALSE()))</f>
        <v>Unidade de movilización e desprazamento de equipo para determinación do Coeficiente de Rozamento Transversal  (CRT) en capa de rodadura UNE 41201 IN ou equivalente</v>
      </c>
      <c r="F368" s="256"/>
      <c r="G368" s="129" t="s">
        <v>283</v>
      </c>
      <c r="H368" s="157" t="n">
        <v>1</v>
      </c>
      <c r="I368" s="232" t="n">
        <f aca="false">IF(   AND(act_rodadura=1, $A$365&gt;=30000),  1,  0   )</f>
        <v>0</v>
      </c>
      <c r="J368" s="233" t="s">
        <v>71</v>
      </c>
      <c r="K368" s="134" t="n">
        <v>1</v>
      </c>
      <c r="L368" s="129" t="n">
        <f aca="false">ROUNDUP(H368*I368*K368,0)</f>
        <v>0</v>
      </c>
      <c r="M368" s="135" t="n">
        <f aca="false">P368</f>
        <v>6854</v>
      </c>
      <c r="N368" s="136" t="n">
        <f aca="false">ROUND(L368*M368,2)</f>
        <v>0</v>
      </c>
      <c r="O368" s="137" t="n">
        <v>0</v>
      </c>
      <c r="P368" s="135" t="n">
        <f aca="false">IF(D368="","",VLOOKUP(D368,matriz_codigo_prezos,6,FALSE()))</f>
        <v>6854</v>
      </c>
      <c r="Q368" s="138" t="n">
        <f aca="false">IF(O368="","",ROUND(O368*P368,2))</f>
        <v>0</v>
      </c>
      <c r="R368" s="231" t="s">
        <v>284</v>
      </c>
      <c r="S368" s="198"/>
    </row>
    <row r="369" customFormat="false" ht="17.9" hidden="false" customHeight="false" outlineLevel="0" collapsed="false">
      <c r="A369" s="128"/>
      <c r="B369" s="128"/>
      <c r="C369" s="36"/>
      <c r="D369" s="139" t="s">
        <v>285</v>
      </c>
      <c r="E369" s="130" t="str">
        <f aca="false">IF(D369="","",VLOOKUP(D369,matriz_codigo_prezos,2,FALSE()))</f>
        <v>Km de carril determinando o Coeficiente de Rozamento Transversal (CRT) en capa de rodadura UNE 41201 IN ou equivalente</v>
      </c>
      <c r="F369" s="131" t="n">
        <v>1000</v>
      </c>
      <c r="G369" s="129" t="s">
        <v>135</v>
      </c>
      <c r="H369" s="157" t="n">
        <v>1</v>
      </c>
      <c r="I369" s="232" t="n">
        <f aca="false">IF(   AND(act_rodadura=1, $A$365&gt;=30000),  ROUNDUP($A$365/F369,0),  0   )</f>
        <v>0</v>
      </c>
      <c r="J369" s="233" t="s">
        <v>71</v>
      </c>
      <c r="K369" s="134" t="n">
        <v>1</v>
      </c>
      <c r="L369" s="129" t="n">
        <f aca="false">ROUNDUP(H369*I369*K369,0)</f>
        <v>0</v>
      </c>
      <c r="M369" s="135" t="n">
        <f aca="false">P369</f>
        <v>35</v>
      </c>
      <c r="N369" s="136" t="n">
        <f aca="false">ROUND(L369*M369,2)</f>
        <v>0</v>
      </c>
      <c r="O369" s="137" t="n">
        <v>0</v>
      </c>
      <c r="P369" s="135" t="n">
        <f aca="false">IF(D369="","",VLOOKUP(D369,matriz_codigo_prezos,6,FALSE()))</f>
        <v>35</v>
      </c>
      <c r="Q369" s="138" t="n">
        <f aca="false">IF(O369="","",ROUND(O369*P369,2))</f>
        <v>0</v>
      </c>
      <c r="R369" s="231"/>
      <c r="S369" s="198"/>
    </row>
    <row r="370" customFormat="false" ht="42.5" hidden="false" customHeight="false" outlineLevel="0" collapsed="false">
      <c r="A370" s="128"/>
      <c r="B370" s="128"/>
      <c r="C370" s="36"/>
      <c r="D370" s="139" t="s">
        <v>263</v>
      </c>
      <c r="E370" s="130" t="str">
        <f aca="false">IF(D370="","",VLOOKUP(D370,matriz_codigo_prezos,2,FALSE()))</f>
        <v>Xornada de determinación “in situ” da resistencia ao deslizamento con péndulo TRRL sobre pavimento acabado e en condicións de uso, incluída a redacción de informe. UNE EN 13036-4 ou equivalente</v>
      </c>
      <c r="F370" s="256" t="n">
        <v>16</v>
      </c>
      <c r="G370" s="257" t="s">
        <v>286</v>
      </c>
      <c r="H370" s="132" t="n">
        <v>1</v>
      </c>
      <c r="I370" s="232" t="n">
        <f aca="false">IF(    AND(ISNUMBER($A$365), $A$365&lt;30000, act_rodadura=1),  ROUNDUP(   MAX(3, $A$365/5000) / $F$370,0),    0    )</f>
        <v>0</v>
      </c>
      <c r="J370" s="233" t="s">
        <v>71</v>
      </c>
      <c r="K370" s="134" t="n">
        <v>1</v>
      </c>
      <c r="L370" s="129" t="n">
        <f aca="false">ROUNDUP(H370*I370*K370,0)</f>
        <v>0</v>
      </c>
      <c r="M370" s="135" t="n">
        <f aca="false">P370</f>
        <v>650</v>
      </c>
      <c r="N370" s="136" t="n">
        <f aca="false">ROUND(L370*M370,2)</f>
        <v>0</v>
      </c>
      <c r="O370" s="137" t="n">
        <v>0</v>
      </c>
      <c r="P370" s="135" t="n">
        <f aca="false">IF(D370="","",VLOOKUP(D370,matriz_codigo_prezos,6,FALSE()))</f>
        <v>650</v>
      </c>
      <c r="Q370" s="138" t="n">
        <f aca="false">IF(O370="","",ROUND(O370*P370,2))</f>
        <v>0</v>
      </c>
      <c r="R370" s="258" t="s">
        <v>287</v>
      </c>
      <c r="S370" s="259"/>
      <c r="V370" s="53"/>
    </row>
    <row r="371" customFormat="false" ht="13.8" hidden="false" customHeight="false" outlineLevel="0" collapsed="false">
      <c r="A371" s="128"/>
      <c r="B371" s="128"/>
      <c r="C371" s="73"/>
      <c r="D371" s="139"/>
      <c r="E371" s="130"/>
      <c r="F371" s="131"/>
      <c r="G371" s="129"/>
      <c r="H371" s="157"/>
      <c r="I371" s="232"/>
      <c r="J371" s="236"/>
      <c r="K371" s="134"/>
      <c r="L371" s="213"/>
      <c r="M371" s="135"/>
      <c r="N371" s="136"/>
      <c r="O371" s="137"/>
      <c r="P371" s="135"/>
      <c r="Q371" s="138"/>
      <c r="R371" s="199"/>
      <c r="S371" s="198"/>
    </row>
    <row r="372" s="36" customFormat="true" ht="13.8" hidden="false" customHeight="false" outlineLevel="0" collapsed="false">
      <c r="A372" s="101" t="s">
        <v>288</v>
      </c>
      <c r="B372" s="101"/>
      <c r="C372" s="101"/>
      <c r="D372" s="101"/>
      <c r="E372" s="102" t="str">
        <f aca="false">IF(D372="","",VLOOKUP(D372,matriz_codigo_prezos,2,FALSE()))</f>
        <v/>
      </c>
      <c r="F372" s="101"/>
      <c r="G372" s="103"/>
      <c r="H372" s="103"/>
      <c r="I372" s="103"/>
      <c r="J372" s="103"/>
      <c r="K372" s="103"/>
      <c r="L372" s="103"/>
      <c r="M372" s="103"/>
      <c r="N372" s="103"/>
      <c r="O372" s="103"/>
      <c r="P372" s="103"/>
      <c r="Q372" s="103"/>
      <c r="R372" s="191"/>
      <c r="S372" s="222"/>
      <c r="U372" s="152"/>
    </row>
    <row r="373" customFormat="false" ht="30.55" hidden="false" customHeight="false" outlineLevel="0" collapsed="false">
      <c r="A373" s="115"/>
      <c r="B373" s="177" t="s">
        <v>289</v>
      </c>
      <c r="C373" s="177"/>
      <c r="D373" s="177"/>
      <c r="E373" s="247"/>
      <c r="F373" s="252" t="str">
        <f aca="false">IF(  OR( A373="",A373="BBTMA",A373="BBTMB"), "","&lt;== tipo de mestura non recoñecido (revise denominación e/ou espazos en branco)")</f>
        <v/>
      </c>
      <c r="G373" s="162"/>
      <c r="H373" s="196"/>
      <c r="I373" s="133"/>
      <c r="J373" s="133"/>
      <c r="K373" s="165"/>
      <c r="L373" s="162"/>
      <c r="M373" s="135"/>
      <c r="N373" s="163"/>
      <c r="O373" s="164"/>
      <c r="P373" s="135"/>
      <c r="Q373" s="136"/>
      <c r="R373" s="197"/>
      <c r="S373" s="198"/>
    </row>
    <row r="374" customFormat="false" ht="13.8" hidden="false" customHeight="false" outlineLevel="0" collapsed="false">
      <c r="A374" s="260"/>
      <c r="B374" s="261" t="s">
        <v>290</v>
      </c>
      <c r="C374" s="73"/>
      <c r="D374" s="139"/>
      <c r="E374" s="130"/>
      <c r="F374" s="195"/>
      <c r="G374" s="162"/>
      <c r="H374" s="196"/>
      <c r="I374" s="133"/>
      <c r="J374" s="133"/>
      <c r="K374" s="165"/>
      <c r="L374" s="162"/>
      <c r="M374" s="135"/>
      <c r="N374" s="163"/>
      <c r="O374" s="164"/>
      <c r="P374" s="135"/>
      <c r="Q374" s="136"/>
      <c r="R374" s="197"/>
      <c r="S374" s="198"/>
    </row>
    <row r="375" customFormat="false" ht="13.8" hidden="false" customHeight="false" outlineLevel="0" collapsed="false">
      <c r="A375" s="106" t="s">
        <v>291</v>
      </c>
      <c r="B375" s="106"/>
      <c r="C375" s="106"/>
      <c r="D375" s="106"/>
      <c r="E375" s="107" t="str">
        <f aca="false">IF(D375="","",VLOOKUP(D375,matriz_codigo_prezos,2,FALSE()))</f>
        <v/>
      </c>
      <c r="F375" s="106"/>
      <c r="G375" s="108"/>
      <c r="H375" s="108"/>
      <c r="I375" s="240"/>
      <c r="J375" s="236"/>
      <c r="K375" s="228"/>
      <c r="L375" s="129"/>
      <c r="M375" s="135"/>
      <c r="N375" s="141"/>
      <c r="O375" s="137"/>
      <c r="P375" s="135"/>
      <c r="Q375" s="138"/>
      <c r="R375" s="199"/>
      <c r="S375" s="198"/>
    </row>
    <row r="376" customFormat="false" ht="13.8" hidden="false" customHeight="false" outlineLevel="0" collapsed="false">
      <c r="A376" s="128"/>
      <c r="B376" s="128"/>
      <c r="C376" s="205" t="s">
        <v>254</v>
      </c>
      <c r="D376" s="139"/>
      <c r="E376" s="130"/>
      <c r="F376" s="244"/>
      <c r="G376" s="129"/>
      <c r="H376" s="157"/>
      <c r="I376" s="232"/>
      <c r="J376" s="167"/>
      <c r="K376" s="228"/>
      <c r="L376" s="129"/>
      <c r="M376" s="135"/>
      <c r="N376" s="141"/>
      <c r="O376" s="137"/>
      <c r="P376" s="135"/>
      <c r="Q376" s="138"/>
      <c r="R376" s="199"/>
      <c r="S376" s="198"/>
    </row>
    <row r="377" customFormat="false" ht="26.1" hidden="false" customHeight="false" outlineLevel="0" collapsed="false">
      <c r="A377" s="128"/>
      <c r="B377" s="128"/>
      <c r="C377" s="36"/>
      <c r="D377" s="139" t="s">
        <v>255</v>
      </c>
      <c r="E377" s="130" t="str">
        <f aca="false">IF(D377="","",VLOOKUP(D377,matriz_codigo_prezos,2,FALSE()))</f>
        <v>Fabricación de 3 probetas e determinación da densidade máxima, da densidade aparente e do contido de ocos UNE EN 12697-5, 6, 8 ,30 y 32 ou equivalente</v>
      </c>
      <c r="F377" s="131" t="n">
        <v>1</v>
      </c>
      <c r="G377" s="129" t="s">
        <v>256</v>
      </c>
      <c r="H377" s="132" t="n">
        <v>1</v>
      </c>
      <c r="I377" s="232" t="n">
        <f aca="false">IF($A$373="",0,INT(F377))</f>
        <v>0</v>
      </c>
      <c r="J377" s="233" t="s">
        <v>71</v>
      </c>
      <c r="K377" s="134" t="n">
        <f aca="false">$N$6</f>
        <v>0.3</v>
      </c>
      <c r="L377" s="129" t="n">
        <f aca="false">ROUNDUP(H377*I377*K377,0)</f>
        <v>0</v>
      </c>
      <c r="M377" s="135" t="n">
        <f aca="false">P377</f>
        <v>183</v>
      </c>
      <c r="N377" s="136" t="n">
        <f aca="false">ROUND(L377*M377,2)</f>
        <v>0</v>
      </c>
      <c r="O377" s="137" t="n">
        <f aca="false">INT(H377*I377)</f>
        <v>0</v>
      </c>
      <c r="P377" s="135" t="n">
        <f aca="false">IF(D377="","",VLOOKUP(D377,matriz_codigo_prezos,6,FALSE()))</f>
        <v>183</v>
      </c>
      <c r="Q377" s="138" t="n">
        <f aca="false">IF(O377="","",ROUND(O377*P377,2))</f>
        <v>0</v>
      </c>
      <c r="R377" s="199"/>
      <c r="S377" s="198"/>
    </row>
    <row r="378" customFormat="false" ht="17.9" hidden="false" customHeight="false" outlineLevel="0" collapsed="false">
      <c r="A378" s="128"/>
      <c r="B378" s="128"/>
      <c r="C378" s="36"/>
      <c r="D378" s="139" t="s">
        <v>257</v>
      </c>
      <c r="E378" s="130" t="str">
        <f aca="false">IF(D378="","",VLOOKUP(D378,matriz_codigo_prezos,2,FALSE()))</f>
        <v>Determinación do contido de ligante da mestura UNE EN 12697-1 ou equivalente</v>
      </c>
      <c r="F378" s="131" t="n">
        <v>1</v>
      </c>
      <c r="G378" s="129" t="s">
        <v>256</v>
      </c>
      <c r="H378" s="132" t="n">
        <v>1</v>
      </c>
      <c r="I378" s="232" t="n">
        <f aca="false">IF($A$373="",0,INT(F378))</f>
        <v>0</v>
      </c>
      <c r="J378" s="233" t="s">
        <v>71</v>
      </c>
      <c r="K378" s="134" t="n">
        <f aca="false">$N$6</f>
        <v>0.3</v>
      </c>
      <c r="L378" s="129" t="n">
        <f aca="false">ROUNDUP(H378*I378*K378,0)</f>
        <v>0</v>
      </c>
      <c r="M378" s="135" t="n">
        <f aca="false">P378</f>
        <v>86</v>
      </c>
      <c r="N378" s="136" t="n">
        <f aca="false">ROUND(L378*M378,2)</f>
        <v>0</v>
      </c>
      <c r="O378" s="137" t="n">
        <f aca="false">INT(H378*I378)</f>
        <v>0</v>
      </c>
      <c r="P378" s="135" t="n">
        <f aca="false">IF(D378="","",VLOOKUP(D378,matriz_codigo_prezos,6,FALSE()))</f>
        <v>86</v>
      </c>
      <c r="Q378" s="138" t="n">
        <f aca="false">IF(O378="","",ROUND(O378*P378,2))</f>
        <v>0</v>
      </c>
      <c r="R378" s="199"/>
      <c r="S378" s="198"/>
    </row>
    <row r="379" customFormat="false" ht="13.8" hidden="false" customHeight="false" outlineLevel="0" collapsed="false">
      <c r="A379" s="128"/>
      <c r="B379" s="128"/>
      <c r="C379" s="36"/>
      <c r="D379" s="139" t="s">
        <v>258</v>
      </c>
      <c r="E379" s="130" t="str">
        <f aca="false">IF(D379="","",VLOOKUP(D379,matriz_codigo_prezos,2,FALSE()))</f>
        <v>Granulometría dos áridos extraídos UNE EN 12697-2 ou equivalente</v>
      </c>
      <c r="F379" s="131" t="n">
        <v>1</v>
      </c>
      <c r="G379" s="129" t="s">
        <v>256</v>
      </c>
      <c r="H379" s="132" t="n">
        <v>1</v>
      </c>
      <c r="I379" s="232" t="n">
        <f aca="false">IF($A$373="",0,INT(F379))</f>
        <v>0</v>
      </c>
      <c r="J379" s="233" t="s">
        <v>71</v>
      </c>
      <c r="K379" s="134" t="n">
        <f aca="false">$N$6</f>
        <v>0.3</v>
      </c>
      <c r="L379" s="129" t="n">
        <f aca="false">ROUNDUP(H379*I379*K379,0)</f>
        <v>0</v>
      </c>
      <c r="M379" s="135" t="n">
        <f aca="false">P379</f>
        <v>41</v>
      </c>
      <c r="N379" s="136" t="n">
        <f aca="false">ROUND(L379*M379,2)</f>
        <v>0</v>
      </c>
      <c r="O379" s="137" t="n">
        <f aca="false">INT(H379*I379)</f>
        <v>0</v>
      </c>
      <c r="P379" s="135" t="n">
        <f aca="false">IF(D379="","",VLOOKUP(D379,matriz_codigo_prezos,6,FALSE()))</f>
        <v>41</v>
      </c>
      <c r="Q379" s="138" t="n">
        <f aca="false">IF(O379="","",ROUND(O379*P379,2))</f>
        <v>0</v>
      </c>
      <c r="R379" s="199"/>
      <c r="S379" s="198"/>
    </row>
    <row r="380" customFormat="false" ht="17.9" hidden="false" customHeight="false" outlineLevel="0" collapsed="false">
      <c r="A380" s="128"/>
      <c r="B380" s="128"/>
      <c r="C380" s="36"/>
      <c r="D380" s="139" t="s">
        <v>259</v>
      </c>
      <c r="E380" s="130" t="str">
        <f aca="false">IF(D380="","",VLOOKUP(D380,matriz_codigo_prezos,2,FALSE()))</f>
        <v>Resistencia conservada a tracción indirecta tras inmersión UNE EN 12697-12 ou equivalente</v>
      </c>
      <c r="F380" s="131" t="n">
        <v>1</v>
      </c>
      <c r="G380" s="129" t="s">
        <v>256</v>
      </c>
      <c r="H380" s="132" t="n">
        <v>1</v>
      </c>
      <c r="I380" s="232" t="n">
        <f aca="false">IF($A$373="",0,INT(F380))</f>
        <v>0</v>
      </c>
      <c r="J380" s="233" t="s">
        <v>71</v>
      </c>
      <c r="K380" s="134" t="n">
        <f aca="false">$N$6</f>
        <v>0.3</v>
      </c>
      <c r="L380" s="129" t="n">
        <f aca="false">ROUNDUP(H380*I380*K380,0)</f>
        <v>0</v>
      </c>
      <c r="M380" s="135" t="n">
        <f aca="false">P380</f>
        <v>680</v>
      </c>
      <c r="N380" s="136" t="n">
        <f aca="false">ROUND(L380*M380,2)</f>
        <v>0</v>
      </c>
      <c r="O380" s="137" t="n">
        <f aca="false">INT(H380*I380)</f>
        <v>0</v>
      </c>
      <c r="P380" s="135" t="n">
        <f aca="false">IF(D380="","",VLOOKUP(D380,matriz_codigo_prezos,6,FALSE()))</f>
        <v>680</v>
      </c>
      <c r="Q380" s="138" t="n">
        <f aca="false">IF(O380="","",ROUND(O380*P380,2))</f>
        <v>0</v>
      </c>
      <c r="R380" s="199"/>
      <c r="S380" s="198"/>
    </row>
    <row r="381" customFormat="false" ht="17.9" hidden="false" customHeight="false" outlineLevel="0" collapsed="false">
      <c r="A381" s="128"/>
      <c r="B381" s="128"/>
      <c r="C381" s="36"/>
      <c r="D381" s="139" t="s">
        <v>260</v>
      </c>
      <c r="E381" s="130" t="str">
        <f aca="false">IF(D381="","",VLOOKUP(D381,matriz_codigo_prezos,2,FALSE()))</f>
        <v>Resistencia á deformación plástica mediante a pista de ensaio de laboratorio UNE EN 12697-22 ou equivalente</v>
      </c>
      <c r="F381" s="131" t="n">
        <v>1</v>
      </c>
      <c r="G381" s="129" t="s">
        <v>256</v>
      </c>
      <c r="H381" s="132" t="n">
        <v>1</v>
      </c>
      <c r="I381" s="232" t="n">
        <f aca="false">IF($A$373="",0,INT(F381))</f>
        <v>0</v>
      </c>
      <c r="J381" s="233" t="s">
        <v>71</v>
      </c>
      <c r="K381" s="134" t="n">
        <f aca="false">$N$6</f>
        <v>0.3</v>
      </c>
      <c r="L381" s="129" t="n">
        <f aca="false">ROUNDUP(H381*I381*K381,0)</f>
        <v>0</v>
      </c>
      <c r="M381" s="135" t="n">
        <f aca="false">P381</f>
        <v>483</v>
      </c>
      <c r="N381" s="136" t="n">
        <f aca="false">ROUND(L381*M381,2)</f>
        <v>0</v>
      </c>
      <c r="O381" s="137" t="n">
        <f aca="false">INT(H381*I381)</f>
        <v>0</v>
      </c>
      <c r="P381" s="135" t="n">
        <f aca="false">IF(D381="","",VLOOKUP(D381,matriz_codigo_prezos,6,FALSE()))</f>
        <v>483</v>
      </c>
      <c r="Q381" s="138" t="n">
        <f aca="false">IF(O381="","",ROUND(O381*P381,2))</f>
        <v>0</v>
      </c>
      <c r="R381" s="199"/>
      <c r="S381" s="198"/>
    </row>
    <row r="382" customFormat="false" ht="26.1" hidden="false" customHeight="false" outlineLevel="0" collapsed="false">
      <c r="A382" s="128"/>
      <c r="B382" s="128"/>
      <c r="C382" s="33"/>
      <c r="D382" s="139" t="s">
        <v>261</v>
      </c>
      <c r="E382" s="130" t="str">
        <f aca="false">IF(D382="","",VLOOKUP(D382,matriz_codigo_prezos,2,FALSE()))</f>
        <v>Extracción probeta-testemuña en mestura bituminosa con diámetro 100 mm e determinación da densidade e espesor UNE-EN 12697-6 ou equivalente. Mínimo facturable 3 testemuñas</v>
      </c>
      <c r="F382" s="256" t="n">
        <v>1</v>
      </c>
      <c r="G382" s="129" t="s">
        <v>256</v>
      </c>
      <c r="H382" s="132" t="n">
        <v>3</v>
      </c>
      <c r="I382" s="232" t="n">
        <f aca="false">IF($A$373="",0,INT(F382))</f>
        <v>0</v>
      </c>
      <c r="J382" s="233" t="s">
        <v>71</v>
      </c>
      <c r="K382" s="134" t="n">
        <f aca="false">$N$6</f>
        <v>0.3</v>
      </c>
      <c r="L382" s="129" t="n">
        <f aca="false">IF(   $I382&gt;0,   MAX( 3, ROUNDUP(H382*I382*K382,0) ),   0   )</f>
        <v>0</v>
      </c>
      <c r="M382" s="135" t="n">
        <f aca="false">P382</f>
        <v>79</v>
      </c>
      <c r="N382" s="136" t="n">
        <f aca="false">ROUND(L382*M382,2)</f>
        <v>0</v>
      </c>
      <c r="O382" s="137" t="n">
        <f aca="false">INT(H382*I382)</f>
        <v>0</v>
      </c>
      <c r="P382" s="135" t="n">
        <f aca="false">IF(D382="","",VLOOKUP(D382,matriz_codigo_prezos,6,FALSE()))</f>
        <v>79</v>
      </c>
      <c r="Q382" s="138" t="n">
        <f aca="false">IF(O382="","",ROUND(O382*P382,2))</f>
        <v>0</v>
      </c>
      <c r="R382" s="203" t="s">
        <v>292</v>
      </c>
      <c r="S382" s="198"/>
    </row>
    <row r="383" customFormat="false" ht="17.9" hidden="false" customHeight="false" outlineLevel="0" collapsed="false">
      <c r="A383" s="128"/>
      <c r="B383" s="128"/>
      <c r="C383" s="36"/>
      <c r="D383" s="139" t="s">
        <v>265</v>
      </c>
      <c r="E383" s="130" t="str">
        <f aca="false">IF(D383="","",VLOOKUP(D383,matriz_codigo_prezos,2,FALSE()))</f>
        <v>Macrotextura superficial mediante círculo de area en capa de rodadura UNE EN 13036-1 ou equivalente</v>
      </c>
      <c r="F383" s="256" t="n">
        <v>1</v>
      </c>
      <c r="G383" s="129" t="s">
        <v>256</v>
      </c>
      <c r="H383" s="132" t="n">
        <v>3</v>
      </c>
      <c r="I383" s="232" t="n">
        <f aca="false">IF($A$373="",0,INT(F383))</f>
        <v>0</v>
      </c>
      <c r="J383" s="233" t="s">
        <v>71</v>
      </c>
      <c r="K383" s="134" t="n">
        <f aca="false">$N$6</f>
        <v>0.3</v>
      </c>
      <c r="L383" s="129" t="n">
        <f aca="false">ROUNDUP(H383*I383*K383,0)</f>
        <v>0</v>
      </c>
      <c r="M383" s="135" t="n">
        <f aca="false">P383</f>
        <v>69</v>
      </c>
      <c r="N383" s="136" t="n">
        <f aca="false">ROUND(L383*M383,2)</f>
        <v>0</v>
      </c>
      <c r="O383" s="137" t="n">
        <f aca="false">INT(H383*I383)</f>
        <v>0</v>
      </c>
      <c r="P383" s="135" t="n">
        <f aca="false">IF(D383="","",VLOOKUP(D383,matriz_codigo_prezos,6,FALSE()))</f>
        <v>69</v>
      </c>
      <c r="Q383" s="138" t="n">
        <f aca="false">IF(O383="","",ROUND(O383*P383,2))</f>
        <v>0</v>
      </c>
      <c r="R383" s="203" t="s">
        <v>293</v>
      </c>
      <c r="S383" s="198"/>
    </row>
    <row r="384" customFormat="false" ht="26.1" hidden="false" customHeight="false" outlineLevel="0" collapsed="false">
      <c r="A384" s="128"/>
      <c r="B384" s="128"/>
      <c r="C384" s="36"/>
      <c r="D384" s="139" t="s">
        <v>263</v>
      </c>
      <c r="E384" s="130" t="str">
        <f aca="false">IF(D384="","",VLOOKUP(D384,matriz_codigo_prezos,2,FALSE()))</f>
        <v>Xornada de determinación “in situ” da resistencia ao deslizamento con péndulo TRRL sobre pavimento acabado e en condicións de uso, incluída a redacción de informe. UNE EN 13036-4 ou equivalente</v>
      </c>
      <c r="F384" s="256" t="n">
        <v>1</v>
      </c>
      <c r="G384" s="129" t="s">
        <v>256</v>
      </c>
      <c r="H384" s="132" t="n">
        <v>1</v>
      </c>
      <c r="I384" s="232" t="n">
        <f aca="false">IF($A$373="",0,INT(F384))</f>
        <v>0</v>
      </c>
      <c r="J384" s="233" t="s">
        <v>71</v>
      </c>
      <c r="K384" s="134" t="n">
        <f aca="false">$N$6</f>
        <v>0.3</v>
      </c>
      <c r="L384" s="129" t="n">
        <f aca="false">ROUNDUP(H384*I384*K384,0)</f>
        <v>0</v>
      </c>
      <c r="M384" s="135" t="n">
        <f aca="false">P384</f>
        <v>650</v>
      </c>
      <c r="N384" s="136" t="n">
        <f aca="false">ROUND(L384*M384,2)</f>
        <v>0</v>
      </c>
      <c r="O384" s="137" t="n">
        <f aca="false">INT(H384*I384)</f>
        <v>0</v>
      </c>
      <c r="P384" s="135" t="n">
        <f aca="false">IF(D384="","",VLOOKUP(D384,matriz_codigo_prezos,6,FALSE()))</f>
        <v>650</v>
      </c>
      <c r="Q384" s="138" t="n">
        <f aca="false">IF(O384="","",ROUND(O384*P384,2))</f>
        <v>0</v>
      </c>
      <c r="R384" s="199"/>
      <c r="S384" s="198"/>
    </row>
    <row r="385" customFormat="false" ht="17.9" hidden="false" customHeight="false" outlineLevel="0" collapsed="false">
      <c r="A385" s="128"/>
      <c r="B385" s="128"/>
      <c r="C385" s="36"/>
      <c r="D385" s="139" t="s">
        <v>294</v>
      </c>
      <c r="E385" s="130" t="str">
        <f aca="false">IF(D385="","",VLOOKUP(D385,matriz_codigo_prezos,2,FALSE()))</f>
        <v>Permeabilidade in situ de pavimentos drenantes con permeámetro LCS. Mínimo facturable 10 determinacións</v>
      </c>
      <c r="F385" s="256" t="n">
        <v>1</v>
      </c>
      <c r="G385" s="129" t="s">
        <v>256</v>
      </c>
      <c r="H385" s="132" t="n">
        <v>1</v>
      </c>
      <c r="I385" s="232" t="n">
        <f aca="false">IF(   AND($A$373="BBTMB", $A$374&gt;2.5),   INT(F385),    0    )</f>
        <v>0</v>
      </c>
      <c r="J385" s="233" t="s">
        <v>71</v>
      </c>
      <c r="K385" s="134" t="n">
        <f aca="false">$N$6</f>
        <v>0.3</v>
      </c>
      <c r="L385" s="129" t="n">
        <f aca="false">IF(   $I385&gt;0,   MAX( 10, ROUNDUP(H385*I385*K385,0) ),   0   )</f>
        <v>0</v>
      </c>
      <c r="M385" s="135" t="n">
        <f aca="false">P385</f>
        <v>28</v>
      </c>
      <c r="N385" s="136" t="n">
        <f aca="false">ROUND(L385*M385,2)</f>
        <v>0</v>
      </c>
      <c r="O385" s="137" t="n">
        <f aca="false">IF(   I385&gt;0,   MAX( 10, INT(H385*I385) ),   0   )</f>
        <v>0</v>
      </c>
      <c r="P385" s="135" t="n">
        <f aca="false">IF(D385="","",VLOOKUP(D385,matriz_codigo_prezos,6,FALSE()))</f>
        <v>28</v>
      </c>
      <c r="Q385" s="138" t="n">
        <f aca="false">IF(O385="","",ROUND(O385*P385,2))</f>
        <v>0</v>
      </c>
      <c r="R385" s="203" t="s">
        <v>295</v>
      </c>
      <c r="S385" s="198"/>
    </row>
    <row r="386" customFormat="false" ht="13.8" hidden="false" customHeight="false" outlineLevel="0" collapsed="false">
      <c r="A386" s="106" t="s">
        <v>296</v>
      </c>
      <c r="B386" s="106"/>
      <c r="C386" s="106"/>
      <c r="D386" s="106"/>
      <c r="E386" s="107"/>
      <c r="F386" s="106"/>
      <c r="G386" s="108"/>
      <c r="H386" s="108"/>
      <c r="I386" s="240"/>
      <c r="J386" s="236"/>
      <c r="K386" s="134"/>
      <c r="L386" s="129"/>
      <c r="M386" s="135"/>
      <c r="N386" s="136"/>
      <c r="O386" s="137"/>
      <c r="P386" s="135"/>
      <c r="Q386" s="138"/>
      <c r="R386" s="224"/>
      <c r="S386" s="198"/>
    </row>
    <row r="387" customFormat="false" ht="58.95" hidden="false" customHeight="false" outlineLevel="0" collapsed="false">
      <c r="A387" s="115"/>
      <c r="B387" s="116" t="s">
        <v>194</v>
      </c>
      <c r="C387" s="148" t="s">
        <v>297</v>
      </c>
      <c r="D387" s="118"/>
      <c r="E387" s="119"/>
      <c r="F387" s="118"/>
      <c r="G387" s="120"/>
      <c r="H387" s="120"/>
      <c r="I387" s="120"/>
      <c r="J387" s="133"/>
      <c r="K387" s="143"/>
      <c r="L387" s="129"/>
      <c r="M387" s="135"/>
      <c r="N387" s="136"/>
      <c r="O387" s="137"/>
      <c r="P387" s="135"/>
      <c r="Q387" s="136"/>
      <c r="R387" s="197"/>
      <c r="S387" s="198"/>
    </row>
    <row r="388" customFormat="false" ht="13.8" hidden="false" customHeight="false" outlineLevel="0" collapsed="false">
      <c r="A388" s="128"/>
      <c r="B388" s="128"/>
      <c r="C388" s="205" t="s">
        <v>298</v>
      </c>
      <c r="D388" s="139"/>
      <c r="E388" s="130"/>
      <c r="F388" s="131"/>
      <c r="G388" s="129"/>
      <c r="H388" s="132"/>
      <c r="I388" s="232"/>
      <c r="J388" s="167"/>
      <c r="K388" s="134"/>
      <c r="L388" s="129"/>
      <c r="M388" s="135"/>
      <c r="N388" s="136"/>
      <c r="O388" s="137"/>
      <c r="P388" s="135"/>
      <c r="Q388" s="138"/>
      <c r="R388" s="199"/>
      <c r="S388" s="198"/>
    </row>
    <row r="389" customFormat="false" ht="17.9" hidden="false" customHeight="false" outlineLevel="0" collapsed="false">
      <c r="A389" s="128"/>
      <c r="B389" s="128"/>
      <c r="C389" s="36"/>
      <c r="D389" s="139" t="s">
        <v>257</v>
      </c>
      <c r="E389" s="130" t="str">
        <f aca="false">IF(D389="","",VLOOKUP(D389,matriz_codigo_prezos,2,FALSE()))</f>
        <v>Determinación do contido de ligante da mestura UNE EN 12697-1 ou equivalente</v>
      </c>
      <c r="F389" s="131" t="n">
        <v>300</v>
      </c>
      <c r="G389" s="129" t="s">
        <v>194</v>
      </c>
      <c r="H389" s="132" t="n">
        <v>1</v>
      </c>
      <c r="I389" s="232" t="n">
        <f aca="false">IF($A$387&gt;0,   ROUNDUP($A$387/F389,0), 0)</f>
        <v>0</v>
      </c>
      <c r="J389" s="233" t="s">
        <v>71</v>
      </c>
      <c r="K389" s="134" t="n">
        <f aca="false">$N$6</f>
        <v>0.3</v>
      </c>
      <c r="L389" s="129" t="n">
        <f aca="false">ROUNDUP(H389*I389*K389,0)</f>
        <v>0</v>
      </c>
      <c r="M389" s="135" t="n">
        <f aca="false">P389</f>
        <v>86</v>
      </c>
      <c r="N389" s="136" t="n">
        <f aca="false">ROUND(L389*M389,2)</f>
        <v>0</v>
      </c>
      <c r="O389" s="137" t="n">
        <f aca="false">INT(H389*I389)</f>
        <v>0</v>
      </c>
      <c r="P389" s="135" t="n">
        <f aca="false">IF(D389="","",VLOOKUP(D389,matriz_codigo_prezos,6,FALSE()))</f>
        <v>86</v>
      </c>
      <c r="Q389" s="138" t="n">
        <f aca="false">IF(O389="","",ROUND(O389*P389,2))</f>
        <v>0</v>
      </c>
      <c r="R389" s="231" t="s">
        <v>270</v>
      </c>
      <c r="S389" s="198"/>
    </row>
    <row r="390" customFormat="false" ht="13.8" hidden="false" customHeight="false" outlineLevel="0" collapsed="false">
      <c r="A390" s="128"/>
      <c r="B390" s="128"/>
      <c r="C390" s="36"/>
      <c r="D390" s="139" t="s">
        <v>258</v>
      </c>
      <c r="E390" s="130" t="str">
        <f aca="false">IF(D390="","",VLOOKUP(D390,matriz_codigo_prezos,2,FALSE()))</f>
        <v>Granulometría dos áridos extraídos UNE EN 12697-2 ou equivalente</v>
      </c>
      <c r="F390" s="131" t="n">
        <v>300</v>
      </c>
      <c r="G390" s="129" t="s">
        <v>194</v>
      </c>
      <c r="H390" s="132" t="n">
        <v>1</v>
      </c>
      <c r="I390" s="232" t="n">
        <f aca="false">IF($A$387&gt;0,   ROUNDUP($A$387/F390,0), 0)</f>
        <v>0</v>
      </c>
      <c r="J390" s="233" t="s">
        <v>71</v>
      </c>
      <c r="K390" s="134" t="n">
        <f aca="false">$N$6</f>
        <v>0.3</v>
      </c>
      <c r="L390" s="129" t="n">
        <f aca="false">ROUNDUP(H390*I390*K390,0)</f>
        <v>0</v>
      </c>
      <c r="M390" s="135" t="n">
        <f aca="false">P390</f>
        <v>41</v>
      </c>
      <c r="N390" s="136" t="n">
        <f aca="false">ROUND(L390*M390,2)</f>
        <v>0</v>
      </c>
      <c r="O390" s="137" t="n">
        <f aca="false">INT(H390*I390)</f>
        <v>0</v>
      </c>
      <c r="P390" s="135" t="n">
        <f aca="false">IF(D390="","",VLOOKUP(D390,matriz_codigo_prezos,6,FALSE()))</f>
        <v>41</v>
      </c>
      <c r="Q390" s="138" t="n">
        <f aca="false">IF(O390="","",ROUND(O390*P390,2))</f>
        <v>0</v>
      </c>
      <c r="R390" s="231"/>
      <c r="S390" s="198"/>
    </row>
    <row r="391" customFormat="false" ht="13.8" hidden="false" customHeight="false" outlineLevel="0" collapsed="false">
      <c r="A391" s="128"/>
      <c r="B391" s="128"/>
      <c r="C391" s="246" t="s">
        <v>299</v>
      </c>
      <c r="D391" s="118"/>
      <c r="E391" s="119"/>
      <c r="F391" s="131"/>
      <c r="G391" s="129"/>
      <c r="H391" s="132"/>
      <c r="I391" s="232"/>
      <c r="J391" s="236"/>
      <c r="K391" s="134"/>
      <c r="L391" s="129"/>
      <c r="M391" s="135"/>
      <c r="N391" s="136"/>
      <c r="O391" s="137"/>
      <c r="P391" s="135"/>
      <c r="Q391" s="138"/>
      <c r="R391" s="199"/>
      <c r="S391" s="198"/>
    </row>
    <row r="392" customFormat="false" ht="17.9" hidden="false" customHeight="false" outlineLevel="0" collapsed="false">
      <c r="A392" s="128"/>
      <c r="B392" s="128"/>
      <c r="C392" s="36"/>
      <c r="D392" s="139" t="s">
        <v>259</v>
      </c>
      <c r="E392" s="130" t="str">
        <f aca="false">IF(D392="","",VLOOKUP(D392,matriz_codigo_prezos,2,FALSE()))</f>
        <v>Resistencia conservada a tracción indirecta tras inmersión UNE EN 12697-12 ou equivalente</v>
      </c>
      <c r="F392" s="131" t="n">
        <v>24000</v>
      </c>
      <c r="G392" s="129" t="s">
        <v>194</v>
      </c>
      <c r="H392" s="132" t="n">
        <v>1</v>
      </c>
      <c r="I392" s="232" t="n">
        <f aca="false">IF($A$387&gt;0,   ROUNDUP($A$387/F392,0), 0)</f>
        <v>0</v>
      </c>
      <c r="J392" s="233" t="s">
        <v>71</v>
      </c>
      <c r="K392" s="134" t="n">
        <f aca="false">$N$6</f>
        <v>0.3</v>
      </c>
      <c r="L392" s="129" t="n">
        <f aca="false">ROUNDUP(H392*I392*K392,0)</f>
        <v>0</v>
      </c>
      <c r="M392" s="135" t="n">
        <f aca="false">P392</f>
        <v>680</v>
      </c>
      <c r="N392" s="136" t="n">
        <f aca="false">ROUND(L392*M392,2)</f>
        <v>0</v>
      </c>
      <c r="O392" s="137" t="n">
        <f aca="false">INT(H392*I392)</f>
        <v>0</v>
      </c>
      <c r="P392" s="135" t="n">
        <f aca="false">IF(D392="","",VLOOKUP(D392,matriz_codigo_prezos,6,FALSE()))</f>
        <v>680</v>
      </c>
      <c r="Q392" s="138" t="n">
        <f aca="false">IF(O392="","",ROUND(O392*P392,2))</f>
        <v>0</v>
      </c>
      <c r="R392" s="199"/>
      <c r="S392" s="198"/>
    </row>
    <row r="393" customFormat="false" ht="13.8" hidden="false" customHeight="false" outlineLevel="0" collapsed="false">
      <c r="A393" s="106" t="s">
        <v>300</v>
      </c>
      <c r="B393" s="106"/>
      <c r="C393" s="106"/>
      <c r="D393" s="106"/>
      <c r="E393" s="107"/>
      <c r="F393" s="106"/>
      <c r="G393" s="108"/>
      <c r="H393" s="108"/>
      <c r="I393" s="240"/>
      <c r="J393" s="236"/>
      <c r="K393" s="134"/>
      <c r="L393" s="129"/>
      <c r="M393" s="135"/>
      <c r="N393" s="136"/>
      <c r="O393" s="137"/>
      <c r="P393" s="135"/>
      <c r="Q393" s="138"/>
      <c r="R393" s="199"/>
      <c r="S393" s="198"/>
    </row>
    <row r="394" customFormat="false" ht="58.95" hidden="false" customHeight="false" outlineLevel="0" collapsed="false">
      <c r="A394" s="115"/>
      <c r="B394" s="116" t="s">
        <v>135</v>
      </c>
      <c r="C394" s="148" t="s">
        <v>273</v>
      </c>
      <c r="D394" s="118"/>
      <c r="E394" s="119"/>
      <c r="F394" s="118"/>
      <c r="G394" s="120"/>
      <c r="H394" s="120"/>
      <c r="I394" s="120"/>
      <c r="J394" s="167"/>
      <c r="K394" s="143"/>
      <c r="L394" s="129"/>
      <c r="M394" s="135"/>
      <c r="N394" s="136"/>
      <c r="O394" s="137"/>
      <c r="P394" s="135"/>
      <c r="Q394" s="136"/>
      <c r="R394" s="197"/>
      <c r="S394" s="198"/>
    </row>
    <row r="395" customFormat="false" ht="26.1" hidden="false" customHeight="false" outlineLevel="0" collapsed="false">
      <c r="A395" s="128"/>
      <c r="B395" s="128"/>
      <c r="C395" s="36"/>
      <c r="D395" s="139" t="s">
        <v>255</v>
      </c>
      <c r="E395" s="130" t="str">
        <f aca="false">IF(D395="","",VLOOKUP(D395,matriz_codigo_prezos,2,FALSE()))</f>
        <v>Fabricación de 3 probetas e determinación da densidade máxima, da densidade aparente e do contido de ocos UNE EN 12697-5, 6, 8 ,30 y 32 ou equivalente</v>
      </c>
      <c r="F395" s="131" t="n">
        <v>500</v>
      </c>
      <c r="G395" s="129" t="s">
        <v>135</v>
      </c>
      <c r="H395" s="132" t="n">
        <v>1</v>
      </c>
      <c r="I395" s="232" t="n">
        <f aca="false">ROUNDUP($A$394/F395,0)</f>
        <v>0</v>
      </c>
      <c r="J395" s="233" t="s">
        <v>71</v>
      </c>
      <c r="K395" s="134" t="n">
        <f aca="false">$N$6</f>
        <v>0.3</v>
      </c>
      <c r="L395" s="129" t="n">
        <f aca="false">ROUNDUP(H395*I395*K395,0)</f>
        <v>0</v>
      </c>
      <c r="M395" s="135" t="n">
        <f aca="false">P395</f>
        <v>183</v>
      </c>
      <c r="N395" s="136" t="n">
        <f aca="false">ROUND(L395*M395,2)</f>
        <v>0</v>
      </c>
      <c r="O395" s="137" t="n">
        <f aca="false">INT(H395*I395)</f>
        <v>0</v>
      </c>
      <c r="P395" s="135" t="n">
        <f aca="false">IF(D395="","",VLOOKUP(D395,matriz_codigo_prezos,6,FALSE()))</f>
        <v>183</v>
      </c>
      <c r="Q395" s="138" t="n">
        <f aca="false">IF(O395="","",ROUND(O395*P395,2))</f>
        <v>0</v>
      </c>
      <c r="R395" s="199"/>
      <c r="S395" s="198"/>
    </row>
    <row r="396" customFormat="false" ht="17.9" hidden="false" customHeight="false" outlineLevel="0" collapsed="false">
      <c r="A396" s="128"/>
      <c r="B396" s="128"/>
      <c r="C396" s="36"/>
      <c r="D396" s="139" t="s">
        <v>257</v>
      </c>
      <c r="E396" s="130" t="str">
        <f aca="false">IF(D396="","",VLOOKUP(D396,matriz_codigo_prezos,2,FALSE()))</f>
        <v>Determinación do contido de ligante da mestura UNE EN 12697-1 ou equivalente</v>
      </c>
      <c r="F396" s="131" t="n">
        <v>500</v>
      </c>
      <c r="G396" s="129" t="s">
        <v>135</v>
      </c>
      <c r="H396" s="132" t="n">
        <v>1</v>
      </c>
      <c r="I396" s="232" t="n">
        <f aca="false">ROUNDUP($A$394/F396,0)</f>
        <v>0</v>
      </c>
      <c r="J396" s="233" t="s">
        <v>71</v>
      </c>
      <c r="K396" s="134" t="n">
        <f aca="false">$N$6</f>
        <v>0.3</v>
      </c>
      <c r="L396" s="129" t="n">
        <f aca="false">ROUNDUP(H396*I396*K396,0)</f>
        <v>0</v>
      </c>
      <c r="M396" s="135" t="n">
        <f aca="false">P396</f>
        <v>86</v>
      </c>
      <c r="N396" s="136" t="n">
        <f aca="false">ROUND(L396*M396,2)</f>
        <v>0</v>
      </c>
      <c r="O396" s="137" t="n">
        <f aca="false">INT(H396*I396)</f>
        <v>0</v>
      </c>
      <c r="P396" s="135" t="n">
        <f aca="false">IF(D396="","",VLOOKUP(D396,matriz_codigo_prezos,6,FALSE()))</f>
        <v>86</v>
      </c>
      <c r="Q396" s="138" t="n">
        <f aca="false">IF(O396="","",ROUND(O396*P396,2))</f>
        <v>0</v>
      </c>
      <c r="R396" s="199"/>
      <c r="S396" s="198"/>
    </row>
    <row r="397" customFormat="false" ht="13.8" hidden="false" customHeight="false" outlineLevel="0" collapsed="false">
      <c r="A397" s="128"/>
      <c r="B397" s="128"/>
      <c r="C397" s="36"/>
      <c r="D397" s="139" t="s">
        <v>258</v>
      </c>
      <c r="E397" s="130" t="str">
        <f aca="false">IF(D397="","",VLOOKUP(D397,matriz_codigo_prezos,2,FALSE()))</f>
        <v>Granulometría dos áridos extraídos UNE EN 12697-2 ou equivalente</v>
      </c>
      <c r="F397" s="131" t="n">
        <v>500</v>
      </c>
      <c r="G397" s="129" t="s">
        <v>135</v>
      </c>
      <c r="H397" s="132" t="n">
        <v>1</v>
      </c>
      <c r="I397" s="232" t="n">
        <f aca="false">ROUNDUP($A$394/F397,0)</f>
        <v>0</v>
      </c>
      <c r="J397" s="233" t="s">
        <v>71</v>
      </c>
      <c r="K397" s="134" t="n">
        <f aca="false">$N$6</f>
        <v>0.3</v>
      </c>
      <c r="L397" s="129" t="n">
        <f aca="false">ROUNDUP(H397*I397*K397,0)</f>
        <v>0</v>
      </c>
      <c r="M397" s="135" t="n">
        <f aca="false">P397</f>
        <v>41</v>
      </c>
      <c r="N397" s="136" t="n">
        <f aca="false">ROUND(L397*M397,2)</f>
        <v>0</v>
      </c>
      <c r="O397" s="137" t="n">
        <f aca="false">INT(H397*I397)</f>
        <v>0</v>
      </c>
      <c r="P397" s="135" t="n">
        <f aca="false">IF(D397="","",VLOOKUP(D397,matriz_codigo_prezos,6,FALSE()))</f>
        <v>41</v>
      </c>
      <c r="Q397" s="138" t="n">
        <f aca="false">IF(O397="","",ROUND(O397*P397,2))</f>
        <v>0</v>
      </c>
      <c r="R397" s="199"/>
      <c r="S397" s="198"/>
    </row>
    <row r="398" customFormat="false" ht="17.9" hidden="false" customHeight="false" outlineLevel="0" collapsed="false">
      <c r="A398" s="128"/>
      <c r="B398" s="128"/>
      <c r="C398" s="36"/>
      <c r="D398" s="139" t="s">
        <v>294</v>
      </c>
      <c r="E398" s="130" t="str">
        <f aca="false">IF(D398="","",VLOOKUP(D398,matriz_codigo_prezos,2,FALSE()))</f>
        <v>Permeabilidade in situ de pavimentos drenantes con permeámetro LCS. Mínimo facturable 10 determinacións</v>
      </c>
      <c r="F398" s="131" t="n">
        <v>500</v>
      </c>
      <c r="G398" s="129" t="s">
        <v>135</v>
      </c>
      <c r="H398" s="132" t="n">
        <v>1</v>
      </c>
      <c r="I398" s="232" t="n">
        <f aca="false">IF(   AND($A$373="BBTMB", $A$374&gt;2.5),   ROUNDUP($A$394/F398,0),    0    )</f>
        <v>0</v>
      </c>
      <c r="J398" s="233" t="s">
        <v>71</v>
      </c>
      <c r="K398" s="134" t="n">
        <f aca="false">$N$6</f>
        <v>0.3</v>
      </c>
      <c r="L398" s="129" t="n">
        <f aca="false">IF(   $I398&gt;0,   MAX( 10, ROUNDUP(H398*I398*K398,0) ),   0   )</f>
        <v>0</v>
      </c>
      <c r="M398" s="135" t="n">
        <f aca="false">P398</f>
        <v>28</v>
      </c>
      <c r="N398" s="136" t="n">
        <f aca="false">ROUND(L398*M398,2)</f>
        <v>0</v>
      </c>
      <c r="O398" s="137" t="n">
        <f aca="false">IF(   I398&gt;0,   MAX( 10, INT(H398*I398) ),   0   )</f>
        <v>0</v>
      </c>
      <c r="P398" s="135" t="n">
        <f aca="false">IF(D398="","",VLOOKUP(D398,matriz_codigo_prezos,6,FALSE()))</f>
        <v>28</v>
      </c>
      <c r="Q398" s="138" t="n">
        <f aca="false">IF(O398="","",ROUND(O398*P398,2))</f>
        <v>0</v>
      </c>
      <c r="R398" s="203" t="s">
        <v>295</v>
      </c>
      <c r="S398" s="198"/>
    </row>
    <row r="399" customFormat="false" ht="13.8" hidden="false" customHeight="false" outlineLevel="0" collapsed="false">
      <c r="A399" s="106" t="s">
        <v>301</v>
      </c>
      <c r="B399" s="106"/>
      <c r="C399" s="106"/>
      <c r="D399" s="106"/>
      <c r="E399" s="107" t="str">
        <f aca="false">IF(D399="","",VLOOKUP(D399,matriz_codigo_prezos,2,FALSE()))</f>
        <v/>
      </c>
      <c r="F399" s="106"/>
      <c r="G399" s="108"/>
      <c r="H399" s="108"/>
      <c r="I399" s="240"/>
      <c r="J399" s="236"/>
      <c r="K399" s="228"/>
      <c r="L399" s="129"/>
      <c r="M399" s="135"/>
      <c r="N399" s="141"/>
      <c r="O399" s="137"/>
      <c r="P399" s="135"/>
      <c r="Q399" s="138"/>
      <c r="R399" s="199"/>
      <c r="S399" s="198"/>
    </row>
    <row r="400" customFormat="false" ht="13.8" hidden="false" customHeight="false" outlineLevel="0" collapsed="false">
      <c r="A400" s="115"/>
      <c r="B400" s="116" t="s">
        <v>135</v>
      </c>
      <c r="C400" s="205" t="s">
        <v>127</v>
      </c>
      <c r="D400" s="139"/>
      <c r="E400" s="168"/>
      <c r="F400" s="262"/>
      <c r="G400" s="157"/>
      <c r="H400" s="157"/>
      <c r="I400" s="133"/>
      <c r="J400" s="167"/>
      <c r="K400" s="143"/>
      <c r="L400" s="129"/>
      <c r="M400" s="135"/>
      <c r="N400" s="141"/>
      <c r="O400" s="137"/>
      <c r="P400" s="135"/>
      <c r="Q400" s="136"/>
      <c r="R400" s="197"/>
      <c r="S400" s="198"/>
    </row>
    <row r="401" customFormat="false" ht="26.1" hidden="false" customHeight="false" outlineLevel="0" collapsed="false">
      <c r="A401" s="128"/>
      <c r="B401" s="128"/>
      <c r="C401" s="36"/>
      <c r="D401" s="139" t="s">
        <v>261</v>
      </c>
      <c r="E401" s="130" t="str">
        <f aca="false">IF(D401="","",VLOOKUP(D401,matriz_codigo_prezos,2,FALSE()))</f>
        <v>Extracción probeta-testemuña en mestura bituminosa con diámetro 100 mm e determinación da densidade e espesor UNE-EN 12697-6 ou equivalente. Mínimo facturable 3 testemuñas</v>
      </c>
      <c r="F401" s="256" t="n">
        <v>500</v>
      </c>
      <c r="G401" s="129" t="s">
        <v>135</v>
      </c>
      <c r="H401" s="132" t="n">
        <v>3</v>
      </c>
      <c r="I401" s="232" t="n">
        <f aca="false">ROUNDUP($A$400/F401,0)</f>
        <v>0</v>
      </c>
      <c r="J401" s="233" t="s">
        <v>71</v>
      </c>
      <c r="K401" s="134" t="n">
        <f aca="false">$N$6</f>
        <v>0.3</v>
      </c>
      <c r="L401" s="129" t="n">
        <f aca="false">IF(   $I401&gt;0,   MAX( 3, ROUNDUP(H401*I401*K401,0) ),   0   )</f>
        <v>0</v>
      </c>
      <c r="M401" s="135" t="n">
        <f aca="false">P401</f>
        <v>79</v>
      </c>
      <c r="N401" s="136" t="n">
        <f aca="false">ROUND(L401*M401,2)</f>
        <v>0</v>
      </c>
      <c r="O401" s="137" t="n">
        <f aca="false">INT(H401*I401)</f>
        <v>0</v>
      </c>
      <c r="P401" s="135" t="n">
        <f aca="false">IF(D401="","",VLOOKUP(D401,matriz_codigo_prezos,6,FALSE()))</f>
        <v>79</v>
      </c>
      <c r="Q401" s="138" t="n">
        <f aca="false">IF(O401="","",ROUND(O401*P401,2))</f>
        <v>0</v>
      </c>
      <c r="R401" s="203" t="s">
        <v>262</v>
      </c>
      <c r="S401" s="198"/>
    </row>
    <row r="402" customFormat="false" ht="17.9" hidden="false" customHeight="false" outlineLevel="0" collapsed="false">
      <c r="A402" s="128"/>
      <c r="B402" s="128"/>
      <c r="C402" s="36"/>
      <c r="D402" s="139" t="s">
        <v>277</v>
      </c>
      <c r="E402" s="130" t="str">
        <f aca="false">IF(D402="","",VLOOKUP(D402,matriz_codigo_prezos,2,FALSE()))</f>
        <v>Avaliación da adherencia entre capas de firme mediante ensaios de corte NLT-382 ou equivalente</v>
      </c>
      <c r="F402" s="256" t="n">
        <v>500</v>
      </c>
      <c r="G402" s="129" t="s">
        <v>135</v>
      </c>
      <c r="H402" s="234" t="n">
        <v>3</v>
      </c>
      <c r="I402" s="232" t="n">
        <f aca="false">ROUNDUP($A$400/F402,0)</f>
        <v>0</v>
      </c>
      <c r="J402" s="233" t="s">
        <v>71</v>
      </c>
      <c r="K402" s="134" t="n">
        <f aca="false">$N$6</f>
        <v>0.3</v>
      </c>
      <c r="L402" s="129" t="n">
        <f aca="false">ROUNDUP(H402*I402*K402,0)</f>
        <v>0</v>
      </c>
      <c r="M402" s="135" t="n">
        <f aca="false">P402</f>
        <v>69</v>
      </c>
      <c r="N402" s="136" t="n">
        <f aca="false">ROUND(L402*M402,2)</f>
        <v>0</v>
      </c>
      <c r="O402" s="137" t="n">
        <f aca="false">INT(H402*I402)</f>
        <v>0</v>
      </c>
      <c r="P402" s="135" t="n">
        <f aca="false">IF(D402="","",VLOOKUP(D402,matriz_codigo_prezos,6,FALSE()))</f>
        <v>69</v>
      </c>
      <c r="Q402" s="138" t="n">
        <f aca="false">IF(O402="","",ROUND(O402*P402,2))</f>
        <v>0</v>
      </c>
      <c r="R402" s="203" t="s">
        <v>302</v>
      </c>
      <c r="S402" s="198"/>
    </row>
    <row r="403" customFormat="false" ht="17.9" hidden="false" customHeight="false" outlineLevel="0" collapsed="false">
      <c r="A403" s="128"/>
      <c r="B403" s="128"/>
      <c r="C403" s="36"/>
      <c r="D403" s="139" t="s">
        <v>265</v>
      </c>
      <c r="E403" s="130" t="str">
        <f aca="false">IF(D403="","",VLOOKUP(D403,matriz_codigo_prezos,2,FALSE()))</f>
        <v>Macrotextura superficial mediante círculo de area en capa de rodadura UNE EN 13036-1 ou equivalente</v>
      </c>
      <c r="F403" s="256" t="n">
        <v>500</v>
      </c>
      <c r="G403" s="129" t="s">
        <v>135</v>
      </c>
      <c r="H403" s="132" t="n">
        <v>3</v>
      </c>
      <c r="I403" s="232" t="n">
        <f aca="false">ROUNDUP($A$400/F403,0)</f>
        <v>0</v>
      </c>
      <c r="J403" s="233" t="s">
        <v>71</v>
      </c>
      <c r="K403" s="134" t="n">
        <v>1</v>
      </c>
      <c r="L403" s="129" t="n">
        <f aca="false">ROUNDUP(H403*I403*K403,0)</f>
        <v>0</v>
      </c>
      <c r="M403" s="135" t="n">
        <f aca="false">P403</f>
        <v>69</v>
      </c>
      <c r="N403" s="136" t="n">
        <f aca="false">ROUND(L403*M403,2)</f>
        <v>0</v>
      </c>
      <c r="O403" s="137" t="n">
        <v>0</v>
      </c>
      <c r="P403" s="135" t="n">
        <f aca="false">IF(D403="","",VLOOKUP(D403,matriz_codigo_prezos,6,FALSE()))</f>
        <v>69</v>
      </c>
      <c r="Q403" s="138" t="n">
        <f aca="false">IF(O403="","",ROUND(O403*P403,2))</f>
        <v>0</v>
      </c>
      <c r="R403" s="203" t="s">
        <v>303</v>
      </c>
      <c r="S403" s="198"/>
    </row>
    <row r="404" customFormat="false" ht="13.8" hidden="false" customHeight="false" outlineLevel="0" collapsed="false">
      <c r="A404" s="115"/>
      <c r="B404" s="116" t="s">
        <v>280</v>
      </c>
      <c r="C404" s="205" t="s">
        <v>181</v>
      </c>
      <c r="D404" s="139"/>
      <c r="E404" s="130"/>
      <c r="F404" s="131"/>
      <c r="G404" s="129"/>
      <c r="H404" s="132"/>
      <c r="I404" s="133"/>
      <c r="J404" s="167"/>
      <c r="K404" s="204"/>
      <c r="L404" s="129"/>
      <c r="M404" s="135"/>
      <c r="N404" s="136"/>
      <c r="O404" s="137"/>
      <c r="P404" s="135"/>
      <c r="Q404" s="136"/>
      <c r="R404" s="219" t="s">
        <v>137</v>
      </c>
      <c r="S404" s="198"/>
    </row>
    <row r="405" customFormat="false" ht="26.1" hidden="false" customHeight="false" outlineLevel="0" collapsed="false">
      <c r="A405" s="128"/>
      <c r="B405" s="128"/>
      <c r="C405" s="36"/>
      <c r="D405" s="139" t="s">
        <v>138</v>
      </c>
      <c r="E405" s="130" t="str">
        <f aca="false">IF(D405="","",VLOOKUP(D405,matriz_codigo_prezos,2,FALSE()))</f>
        <v>Unidade de movilización e desprazamento de perfilómetro láser, e informe de cálculo do índice de regularidade internacional IRI en pavimentos de estradas, NLT-330 ou equivalente</v>
      </c>
      <c r="F405" s="139"/>
      <c r="G405" s="129" t="s">
        <v>139</v>
      </c>
      <c r="H405" s="157" t="n">
        <v>1</v>
      </c>
      <c r="I405" s="232" t="n">
        <f aca="false">IF(   AND( ISNUMBER($A$404),   $A$404&gt;0 ),   1,   0   )</f>
        <v>0</v>
      </c>
      <c r="J405" s="233" t="s">
        <v>71</v>
      </c>
      <c r="K405" s="134" t="n">
        <v>1</v>
      </c>
      <c r="L405" s="129" t="n">
        <f aca="false">ROUNDUP(H405*I405*K405,0)</f>
        <v>0</v>
      </c>
      <c r="M405" s="135" t="n">
        <f aca="false">P405</f>
        <v>2530</v>
      </c>
      <c r="N405" s="136" t="n">
        <f aca="false">ROUND(L405*M405,2)</f>
        <v>0</v>
      </c>
      <c r="O405" s="137" t="n">
        <v>0</v>
      </c>
      <c r="P405" s="135" t="n">
        <f aca="false">IF(D405="","",VLOOKUP(D405,matriz_codigo_prezos,6,FALSE()))</f>
        <v>2530</v>
      </c>
      <c r="Q405" s="138" t="n">
        <f aca="false">IF(O405="","",ROUND(O405*P405,2))</f>
        <v>0</v>
      </c>
      <c r="R405" s="199"/>
      <c r="S405" s="198"/>
    </row>
    <row r="406" customFormat="false" ht="13.8" hidden="false" customHeight="false" outlineLevel="0" collapsed="false">
      <c r="A406" s="230"/>
      <c r="B406" s="230"/>
      <c r="C406" s="211"/>
      <c r="D406" s="139" t="s">
        <v>141</v>
      </c>
      <c r="E406" s="130" t="str">
        <f aca="false">IF(D406="","",VLOOKUP(D406,matriz_codigo_prezos,2,FALSE()))</f>
        <v>Km. de medida con perfilómetro láser para cálculo de IRI</v>
      </c>
      <c r="F406" s="212" t="n">
        <v>1000</v>
      </c>
      <c r="G406" s="213" t="s">
        <v>135</v>
      </c>
      <c r="H406" s="220" t="n">
        <v>1</v>
      </c>
      <c r="I406" s="232" t="n">
        <f aca="false">ROUNDUP(A$404/F406,0)</f>
        <v>0</v>
      </c>
      <c r="J406" s="233" t="s">
        <v>71</v>
      </c>
      <c r="K406" s="239" t="n">
        <v>1</v>
      </c>
      <c r="L406" s="129" t="n">
        <f aca="false">ROUNDUP(H406*I406*K406,0)</f>
        <v>0</v>
      </c>
      <c r="M406" s="135" t="n">
        <f aca="false">P406</f>
        <v>17</v>
      </c>
      <c r="N406" s="136" t="n">
        <f aca="false">ROUND(L406*M406,2)</f>
        <v>0</v>
      </c>
      <c r="O406" s="137" t="n">
        <v>0</v>
      </c>
      <c r="P406" s="135" t="n">
        <f aca="false">IF(D406="","",VLOOKUP(D406,matriz_codigo_prezos,6,FALSE()))</f>
        <v>17</v>
      </c>
      <c r="Q406" s="138" t="n">
        <f aca="false">IF(O406="","",ROUND(O406*P406,2))</f>
        <v>0</v>
      </c>
      <c r="R406" s="199"/>
      <c r="S406" s="215"/>
      <c r="T406" s="210"/>
      <c r="V406" s="210"/>
      <c r="W406" s="210"/>
      <c r="X406" s="210"/>
      <c r="Y406" s="210"/>
      <c r="Z406" s="210"/>
      <c r="AA406" s="210"/>
      <c r="AB406" s="210"/>
      <c r="AC406" s="168"/>
      <c r="AD406" s="168"/>
      <c r="AE406" s="168"/>
      <c r="AF406" s="168"/>
      <c r="AG406" s="168"/>
      <c r="AH406" s="168"/>
      <c r="AI406" s="168"/>
      <c r="AJ406" s="168"/>
      <c r="AK406" s="168"/>
      <c r="AL406" s="168"/>
      <c r="AM406" s="168"/>
      <c r="AN406" s="168"/>
      <c r="AO406" s="168"/>
      <c r="AP406" s="168"/>
      <c r="AQ406" s="168"/>
      <c r="AR406" s="168"/>
      <c r="AS406" s="168"/>
      <c r="AT406" s="168"/>
      <c r="AU406" s="168"/>
      <c r="AV406" s="168"/>
      <c r="AW406" s="168"/>
      <c r="AX406" s="168"/>
      <c r="AY406" s="168"/>
      <c r="AZ406" s="168"/>
      <c r="BA406" s="168"/>
      <c r="BB406" s="168"/>
      <c r="BC406" s="168"/>
      <c r="BD406" s="168"/>
      <c r="BE406" s="168"/>
      <c r="BF406" s="168"/>
      <c r="BG406" s="168"/>
      <c r="BH406" s="168"/>
      <c r="BI406" s="168"/>
      <c r="BJ406" s="168"/>
      <c r="BK406" s="168"/>
      <c r="BL406" s="168"/>
    </row>
    <row r="407" customFormat="false" ht="26.1" hidden="false" customHeight="false" outlineLevel="0" collapsed="false">
      <c r="A407" s="128"/>
      <c r="B407" s="128"/>
      <c r="C407" s="36"/>
      <c r="D407" s="139" t="s">
        <v>282</v>
      </c>
      <c r="E407" s="130" t="str">
        <f aca="false">IF(D407="","",VLOOKUP(D407,matriz_codigo_prezos,2,FALSE()))</f>
        <v>Unidade de movilización e desprazamento de equipo para determinación do Coeficiente de Rozamento Transversal  (CRT) en capa de rodadura UNE 41201 IN ou equivalente</v>
      </c>
      <c r="F407" s="256"/>
      <c r="G407" s="129" t="s">
        <v>283</v>
      </c>
      <c r="H407" s="157" t="n">
        <v>1</v>
      </c>
      <c r="I407" s="232" t="n">
        <f aca="false">IF(   AND( A404&gt;=30000 ), 1, 0   )</f>
        <v>0</v>
      </c>
      <c r="J407" s="233" t="s">
        <v>71</v>
      </c>
      <c r="K407" s="134" t="n">
        <v>1</v>
      </c>
      <c r="L407" s="129" t="n">
        <f aca="false">ROUNDUP(H407*I407*K407,0)</f>
        <v>0</v>
      </c>
      <c r="M407" s="135" t="n">
        <f aca="false">P407</f>
        <v>6854</v>
      </c>
      <c r="N407" s="136" t="n">
        <f aca="false">ROUND(L407*M407,2)</f>
        <v>0</v>
      </c>
      <c r="O407" s="137" t="n">
        <v>0</v>
      </c>
      <c r="P407" s="135" t="n">
        <f aca="false">IF(D407="","",VLOOKUP(D407,matriz_codigo_prezos,6,FALSE()))</f>
        <v>6854</v>
      </c>
      <c r="Q407" s="138" t="n">
        <f aca="false">IF(O407="","",ROUND(O407*P407,2))</f>
        <v>0</v>
      </c>
      <c r="R407" s="231" t="s">
        <v>284</v>
      </c>
      <c r="S407" s="198"/>
    </row>
    <row r="408" customFormat="false" ht="17.9" hidden="false" customHeight="false" outlineLevel="0" collapsed="false">
      <c r="A408" s="128"/>
      <c r="B408" s="128"/>
      <c r="C408" s="36"/>
      <c r="D408" s="139" t="s">
        <v>285</v>
      </c>
      <c r="E408" s="130" t="str">
        <f aca="false">IF(D408="","",VLOOKUP(D408,matriz_codigo_prezos,2,FALSE()))</f>
        <v>Km de carril determinando o Coeficiente de Rozamento Transversal (CRT) en capa de rodadura UNE 41201 IN ou equivalente</v>
      </c>
      <c r="F408" s="131" t="n">
        <v>1000</v>
      </c>
      <c r="G408" s="129" t="s">
        <v>135</v>
      </c>
      <c r="H408" s="157" t="n">
        <v>1</v>
      </c>
      <c r="I408" s="232" t="n">
        <f aca="false">IF(    A$404&gt;=30000, ROUNDUP(A$404/F408,0), 0)</f>
        <v>0</v>
      </c>
      <c r="J408" s="233" t="s">
        <v>71</v>
      </c>
      <c r="K408" s="134" t="n">
        <v>1</v>
      </c>
      <c r="L408" s="129" t="n">
        <f aca="false">ROUNDUP(H408*I408*K408,0)</f>
        <v>0</v>
      </c>
      <c r="M408" s="135" t="n">
        <f aca="false">P408</f>
        <v>35</v>
      </c>
      <c r="N408" s="136" t="n">
        <f aca="false">ROUND(L408*M408,2)</f>
        <v>0</v>
      </c>
      <c r="O408" s="137" t="n">
        <v>0</v>
      </c>
      <c r="P408" s="135" t="n">
        <f aca="false">IF(D408="","",VLOOKUP(D408,matriz_codigo_prezos,6,FALSE()))</f>
        <v>35</v>
      </c>
      <c r="Q408" s="138" t="n">
        <f aca="false">IF(O408="","",ROUND(O408*P408,2))</f>
        <v>0</v>
      </c>
      <c r="R408" s="231"/>
      <c r="S408" s="198"/>
    </row>
    <row r="409" customFormat="false" ht="42.5" hidden="false" customHeight="false" outlineLevel="0" collapsed="false">
      <c r="A409" s="128"/>
      <c r="B409" s="128"/>
      <c r="C409" s="36"/>
      <c r="D409" s="139" t="s">
        <v>263</v>
      </c>
      <c r="E409" s="130" t="str">
        <f aca="false">IF(D409="","",VLOOKUP(D409,matriz_codigo_prezos,2,FALSE()))</f>
        <v>Xornada de determinación “in situ” da resistencia ao deslizamento con péndulo TRRL sobre pavimento acabado e en condicións de uso, incluída a redacción de informe. UNE EN 13036-4 ou equivalente</v>
      </c>
      <c r="F409" s="256" t="n">
        <v>16</v>
      </c>
      <c r="G409" s="257" t="s">
        <v>286</v>
      </c>
      <c r="H409" s="132" t="n">
        <v>1</v>
      </c>
      <c r="I409" s="232" t="n">
        <f aca="false">IF(     AND(ISNUMBER($A$404), $A$404&lt;30000 ),     ROUNDUP(   MAX(3, $A$404/5000)   /   F409,0),     0      )</f>
        <v>0</v>
      </c>
      <c r="J409" s="233" t="s">
        <v>71</v>
      </c>
      <c r="K409" s="134" t="n">
        <v>1</v>
      </c>
      <c r="L409" s="129" t="n">
        <f aca="false">ROUNDUP(H409*I409*K409,0)</f>
        <v>0</v>
      </c>
      <c r="M409" s="135" t="n">
        <f aca="false">P409</f>
        <v>650</v>
      </c>
      <c r="N409" s="136" t="n">
        <f aca="false">ROUND(L409*M409,2)</f>
        <v>0</v>
      </c>
      <c r="O409" s="137" t="n">
        <v>0</v>
      </c>
      <c r="P409" s="135" t="n">
        <f aca="false">IF(D409="","",VLOOKUP(D409,matriz_codigo_prezos,6,FALSE()))</f>
        <v>650</v>
      </c>
      <c r="Q409" s="138" t="n">
        <f aca="false">IF(O409="","",ROUND(O409*P409,2))</f>
        <v>0</v>
      </c>
      <c r="R409" s="258" t="s">
        <v>287</v>
      </c>
      <c r="S409" s="259"/>
    </row>
    <row r="410" customFormat="false" ht="13.8" hidden="false" customHeight="false" outlineLevel="0" collapsed="false">
      <c r="C410" s="73"/>
      <c r="D410" s="139"/>
      <c r="E410" s="130" t="str">
        <f aca="false">IF(D410="","",VLOOKUP(D410,matriz_codigo_prezos,2,FALSE()))</f>
        <v/>
      </c>
      <c r="F410" s="25"/>
      <c r="G410" s="121"/>
      <c r="H410" s="121"/>
      <c r="I410" s="232"/>
      <c r="J410" s="236"/>
      <c r="K410" s="159"/>
      <c r="L410" s="129"/>
      <c r="M410" s="135"/>
      <c r="N410" s="136"/>
      <c r="O410" s="137"/>
      <c r="P410" s="135"/>
      <c r="Q410" s="138"/>
      <c r="R410" s="199"/>
      <c r="S410" s="198"/>
    </row>
    <row r="411" s="36" customFormat="true" ht="15" hidden="false" customHeight="false" outlineLevel="0" collapsed="false">
      <c r="A411" s="82" t="s">
        <v>304</v>
      </c>
      <c r="B411" s="82"/>
      <c r="C411" s="82"/>
      <c r="D411" s="82"/>
      <c r="E411" s="83" t="str">
        <f aca="false">IF(D411="","",VLOOKUP(D411,matriz_codigo_prezos,2,FALSE()))</f>
        <v/>
      </c>
      <c r="F411" s="82"/>
      <c r="G411" s="84"/>
      <c r="H411" s="84"/>
      <c r="I411" s="84"/>
      <c r="J411" s="84"/>
      <c r="K411" s="84"/>
      <c r="L411" s="84"/>
      <c r="M411" s="84"/>
      <c r="N411" s="84"/>
      <c r="O411" s="84"/>
      <c r="P411" s="84"/>
      <c r="Q411" s="84"/>
      <c r="R411" s="190"/>
      <c r="S411" s="222"/>
      <c r="U411" s="152"/>
    </row>
    <row r="412" s="36" customFormat="true" ht="12.8" hidden="false" customHeight="false" outlineLevel="0" collapsed="false">
      <c r="A412" s="101" t="s">
        <v>305</v>
      </c>
      <c r="B412" s="101"/>
      <c r="C412" s="101"/>
      <c r="D412" s="101"/>
      <c r="E412" s="102" t="str">
        <f aca="false">IF(D412="","",VLOOKUP(D412,matriz_codigo_prezos,2,FALSE()))</f>
        <v/>
      </c>
      <c r="F412" s="101"/>
      <c r="G412" s="103"/>
      <c r="H412" s="103"/>
      <c r="I412" s="103"/>
      <c r="J412" s="103"/>
      <c r="K412" s="103"/>
      <c r="L412" s="103"/>
      <c r="M412" s="103"/>
      <c r="N412" s="103"/>
      <c r="O412" s="103"/>
      <c r="P412" s="103"/>
      <c r="Q412" s="103"/>
      <c r="R412" s="191"/>
      <c r="S412" s="222"/>
      <c r="U412" s="152"/>
    </row>
    <row r="413" s="36" customFormat="true" ht="12.8" hidden="false" customHeight="false" outlineLevel="0" collapsed="false">
      <c r="A413" s="106" t="s">
        <v>306</v>
      </c>
      <c r="B413" s="106"/>
      <c r="C413" s="106"/>
      <c r="D413" s="106"/>
      <c r="E413" s="107"/>
      <c r="F413" s="106"/>
      <c r="G413" s="108"/>
      <c r="H413" s="108"/>
      <c r="I413" s="240"/>
      <c r="J413" s="236"/>
      <c r="K413" s="159"/>
      <c r="L413" s="135"/>
      <c r="M413" s="135"/>
      <c r="N413" s="141"/>
      <c r="O413" s="137"/>
      <c r="P413" s="135"/>
      <c r="Q413" s="138"/>
      <c r="R413" s="224"/>
      <c r="S413" s="222"/>
      <c r="U413" s="152"/>
    </row>
    <row r="414" customFormat="false" ht="157.45" hidden="false" customHeight="false" outlineLevel="0" collapsed="false">
      <c r="A414" s="115"/>
      <c r="B414" s="116" t="s">
        <v>194</v>
      </c>
      <c r="C414" s="148" t="s">
        <v>202</v>
      </c>
      <c r="D414" s="118"/>
      <c r="E414" s="119"/>
      <c r="F414" s="118"/>
      <c r="G414" s="120"/>
      <c r="H414" s="120"/>
      <c r="I414" s="120"/>
      <c r="J414" s="167"/>
      <c r="K414" s="143"/>
      <c r="L414" s="129"/>
      <c r="M414" s="135"/>
      <c r="N414" s="141"/>
      <c r="O414" s="137"/>
      <c r="P414" s="135"/>
      <c r="Q414" s="136"/>
      <c r="R414" s="197"/>
      <c r="S414" s="198"/>
    </row>
    <row r="415" customFormat="false" ht="13.8" hidden="false" customHeight="false" outlineLevel="0" collapsed="false">
      <c r="A415" s="230"/>
      <c r="B415" s="128"/>
      <c r="C415" s="36"/>
      <c r="D415" s="139" t="s">
        <v>203</v>
      </c>
      <c r="E415" s="130" t="str">
        <f aca="false">IF(D415="","",VLOOKUP(D415,matriz_codigo_prezos,2,FALSE()))</f>
        <v>Carga de partículas das emulsións bituminosas UNE EN 1430 ou equivalente</v>
      </c>
      <c r="F415" s="131" t="n">
        <v>30</v>
      </c>
      <c r="G415" s="129" t="s">
        <v>194</v>
      </c>
      <c r="H415" s="157" t="n">
        <v>1</v>
      </c>
      <c r="I415" s="232" t="n">
        <f aca="false">ROUNDUP(A$414/F415,0)</f>
        <v>0</v>
      </c>
      <c r="J415" s="233" t="s">
        <v>71</v>
      </c>
      <c r="K415" s="134" t="n">
        <f aca="false">$N$6</f>
        <v>0.3</v>
      </c>
      <c r="L415" s="129" t="n">
        <f aca="false">ROUNDUP(H415*I415*K415,0)</f>
        <v>0</v>
      </c>
      <c r="M415" s="135" t="n">
        <f aca="false">P415</f>
        <v>37</v>
      </c>
      <c r="N415" s="136" t="n">
        <f aca="false">ROUND(L415*M415,2)</f>
        <v>0</v>
      </c>
      <c r="O415" s="137" t="n">
        <f aca="false">INT(+I415*H415)</f>
        <v>0</v>
      </c>
      <c r="P415" s="135" t="n">
        <f aca="false">IF(D415="","",VLOOKUP(D415,matriz_codigo_prezos,6,FALSE()))</f>
        <v>37</v>
      </c>
      <c r="Q415" s="138" t="n">
        <f aca="false">IF(O415="","",ROUND(O415*P415,2))</f>
        <v>0</v>
      </c>
      <c r="R415" s="199"/>
      <c r="S415" s="198"/>
    </row>
    <row r="416" customFormat="false" ht="13.8" hidden="false" customHeight="false" outlineLevel="0" collapsed="false">
      <c r="A416" s="128"/>
      <c r="B416" s="128"/>
      <c r="C416" s="36"/>
      <c r="D416" s="139" t="s">
        <v>204</v>
      </c>
      <c r="E416" s="130" t="str">
        <f aca="false">IF(D416="","",VLOOKUP(D416,matriz_codigo_prezos,2,FALSE()))</f>
        <v>Índice de rotura UNE EN 13075-1 ou equivalente</v>
      </c>
      <c r="F416" s="131" t="n">
        <v>30</v>
      </c>
      <c r="G416" s="129" t="s">
        <v>194</v>
      </c>
      <c r="H416" s="157" t="n">
        <v>1</v>
      </c>
      <c r="I416" s="232" t="n">
        <f aca="false">ROUNDUP(A$414/F416,0)</f>
        <v>0</v>
      </c>
      <c r="J416" s="233" t="s">
        <v>71</v>
      </c>
      <c r="K416" s="134" t="n">
        <f aca="false">$N$6</f>
        <v>0.3</v>
      </c>
      <c r="L416" s="129" t="n">
        <f aca="false">ROUNDUP(H416*I416*K416,0)</f>
        <v>0</v>
      </c>
      <c r="M416" s="135" t="n">
        <f aca="false">P416</f>
        <v>60</v>
      </c>
      <c r="N416" s="136" t="n">
        <f aca="false">ROUND(L416*M416,2)</f>
        <v>0</v>
      </c>
      <c r="O416" s="137" t="n">
        <f aca="false">INT(+I416*H416)</f>
        <v>0</v>
      </c>
      <c r="P416" s="135" t="n">
        <f aca="false">IF(D416="","",VLOOKUP(D416,matriz_codigo_prezos,6,FALSE()))</f>
        <v>60</v>
      </c>
      <c r="Q416" s="138" t="n">
        <f aca="false">IF(O416="","",ROUND(O416*P416,2))</f>
        <v>0</v>
      </c>
      <c r="R416" s="199"/>
      <c r="S416" s="198"/>
    </row>
    <row r="417" customFormat="false" ht="13.8" hidden="false" customHeight="false" outlineLevel="0" collapsed="false">
      <c r="A417" s="128"/>
      <c r="B417" s="128"/>
      <c r="C417" s="36"/>
      <c r="D417" s="139" t="s">
        <v>205</v>
      </c>
      <c r="E417" s="130" t="str">
        <f aca="false">IF(D417="","",VLOOKUP(D417,matriz_codigo_prezos,2,FALSE()))</f>
        <v>Contido en auga en emulsións bituminosas UNE EN 1428 ou equivalente</v>
      </c>
      <c r="F417" s="131" t="n">
        <v>30</v>
      </c>
      <c r="G417" s="129" t="s">
        <v>194</v>
      </c>
      <c r="H417" s="157" t="n">
        <v>1</v>
      </c>
      <c r="I417" s="232" t="n">
        <f aca="false">ROUNDUP(A$414/F417,0)</f>
        <v>0</v>
      </c>
      <c r="J417" s="233" t="s">
        <v>71</v>
      </c>
      <c r="K417" s="134" t="n">
        <f aca="false">$N$6</f>
        <v>0.3</v>
      </c>
      <c r="L417" s="129" t="n">
        <f aca="false">ROUNDUP(H417*I417*K417,0)</f>
        <v>0</v>
      </c>
      <c r="M417" s="135" t="n">
        <f aca="false">P417</f>
        <v>75</v>
      </c>
      <c r="N417" s="136" t="n">
        <f aca="false">ROUND(L417*M417,2)</f>
        <v>0</v>
      </c>
      <c r="O417" s="137" t="n">
        <f aca="false">INT(+I417*H417)</f>
        <v>0</v>
      </c>
      <c r="P417" s="135" t="n">
        <f aca="false">IF(D417="","",VLOOKUP(D417,matriz_codigo_prezos,6,FALSE()))</f>
        <v>75</v>
      </c>
      <c r="Q417" s="138" t="n">
        <f aca="false">IF(O417="","",ROUND(O417*P417,2))</f>
        <v>0</v>
      </c>
      <c r="R417" s="199"/>
      <c r="S417" s="198"/>
    </row>
    <row r="418" customFormat="false" ht="13.8" hidden="false" customHeight="false" outlineLevel="0" collapsed="false">
      <c r="A418" s="128"/>
      <c r="B418" s="128"/>
      <c r="C418" s="36"/>
      <c r="D418" s="139" t="s">
        <v>206</v>
      </c>
      <c r="E418" s="130" t="str">
        <f aca="false">IF(D418="","",VLOOKUP(D418,matriz_codigo_prezos,2,FALSE()))</f>
        <v>Tamizado das emulsións bituminosas UNE EN 1429 ou equivalente</v>
      </c>
      <c r="F418" s="131" t="n">
        <v>30</v>
      </c>
      <c r="G418" s="129" t="s">
        <v>194</v>
      </c>
      <c r="H418" s="157" t="n">
        <v>1</v>
      </c>
      <c r="I418" s="232" t="n">
        <f aca="false">ROUNDUP(A$414/F418,0)</f>
        <v>0</v>
      </c>
      <c r="J418" s="233" t="s">
        <v>71</v>
      </c>
      <c r="K418" s="134" t="n">
        <f aca="false">$N$6</f>
        <v>0.3</v>
      </c>
      <c r="L418" s="129" t="n">
        <f aca="false">ROUNDUP(H418*I418*K418,0)</f>
        <v>0</v>
      </c>
      <c r="M418" s="135" t="n">
        <f aca="false">P418</f>
        <v>41</v>
      </c>
      <c r="N418" s="136" t="n">
        <f aca="false">ROUND(L418*M418,2)</f>
        <v>0</v>
      </c>
      <c r="O418" s="137" t="n">
        <f aca="false">INT(+I418*H418)</f>
        <v>0</v>
      </c>
      <c r="P418" s="135" t="n">
        <f aca="false">IF(D418="","",VLOOKUP(D418,matriz_codigo_prezos,6,FALSE()))</f>
        <v>41</v>
      </c>
      <c r="Q418" s="138" t="n">
        <f aca="false">IF(O418="","",ROUND(O418*P418,2))</f>
        <v>0</v>
      </c>
      <c r="R418" s="199"/>
      <c r="S418" s="198"/>
    </row>
    <row r="419" customFormat="false" ht="13.8" hidden="false" customHeight="false" outlineLevel="0" collapsed="false">
      <c r="A419" s="128"/>
      <c r="B419" s="128"/>
      <c r="C419" s="73"/>
      <c r="D419" s="139"/>
      <c r="E419" s="130" t="str">
        <f aca="false">IF(D419="","",VLOOKUP(D419,matriz_codigo_prezos,2,FALSE()))</f>
        <v/>
      </c>
      <c r="F419" s="131"/>
      <c r="G419" s="129"/>
      <c r="H419" s="157"/>
      <c r="I419" s="232"/>
      <c r="J419" s="236"/>
      <c r="K419" s="134"/>
      <c r="L419" s="129"/>
      <c r="M419" s="135"/>
      <c r="N419" s="136"/>
      <c r="O419" s="137"/>
      <c r="P419" s="135"/>
      <c r="Q419" s="138"/>
      <c r="R419" s="199"/>
      <c r="S419" s="198"/>
    </row>
    <row r="420" s="36" customFormat="true" ht="13.8" hidden="false" customHeight="false" outlineLevel="0" collapsed="false">
      <c r="A420" s="101" t="s">
        <v>307</v>
      </c>
      <c r="B420" s="101"/>
      <c r="C420" s="101"/>
      <c r="D420" s="101"/>
      <c r="E420" s="102" t="str">
        <f aca="false">IF(D420="","",VLOOKUP(D420,matriz_codigo_prezos,2,FALSE()))</f>
        <v/>
      </c>
      <c r="F420" s="101"/>
      <c r="G420" s="103"/>
      <c r="H420" s="103"/>
      <c r="I420" s="103"/>
      <c r="J420" s="103"/>
      <c r="K420" s="103"/>
      <c r="L420" s="103"/>
      <c r="M420" s="103"/>
      <c r="N420" s="103"/>
      <c r="O420" s="103"/>
      <c r="P420" s="103"/>
      <c r="Q420" s="103"/>
      <c r="R420" s="191"/>
      <c r="S420" s="222"/>
      <c r="U420" s="152"/>
    </row>
    <row r="421" customFormat="false" ht="58.95" hidden="false" customHeight="false" outlineLevel="0" collapsed="false">
      <c r="A421" s="115"/>
      <c r="B421" s="116" t="s">
        <v>68</v>
      </c>
      <c r="C421" s="148" t="s">
        <v>208</v>
      </c>
      <c r="D421" s="118"/>
      <c r="E421" s="119"/>
      <c r="F421" s="118"/>
      <c r="G421" s="120"/>
      <c r="H421" s="120"/>
      <c r="I421" s="120"/>
      <c r="J421" s="167"/>
      <c r="K421" s="143"/>
      <c r="L421" s="129"/>
      <c r="M421" s="135"/>
      <c r="N421" s="141"/>
      <c r="O421" s="137"/>
      <c r="P421" s="135"/>
      <c r="Q421" s="136"/>
      <c r="R421" s="197"/>
      <c r="S421" s="198"/>
    </row>
    <row r="422" customFormat="false" ht="17.9" hidden="false" customHeight="false" outlineLevel="0" collapsed="false">
      <c r="A422" s="230"/>
      <c r="B422" s="128"/>
      <c r="C422" s="36"/>
      <c r="D422" s="139" t="s">
        <v>209</v>
      </c>
      <c r="E422" s="130" t="str">
        <f aca="false">IF(D422="","",VLOOKUP(D422,matriz_codigo_prezos,2,FALSE()))</f>
        <v>Toma de mostra sobre 3 bandexas e determinación da dotación media de ligante residual.</v>
      </c>
      <c r="F422" s="131" t="n">
        <v>3500</v>
      </c>
      <c r="G422" s="129" t="s">
        <v>68</v>
      </c>
      <c r="H422" s="157" t="n">
        <v>1</v>
      </c>
      <c r="I422" s="232" t="n">
        <f aca="false">ROUNDUP(A$421/F422,0)</f>
        <v>0</v>
      </c>
      <c r="J422" s="233" t="s">
        <v>71</v>
      </c>
      <c r="K422" s="134" t="n">
        <f aca="false">$N$6</f>
        <v>0.3</v>
      </c>
      <c r="L422" s="129" t="n">
        <f aca="false">ROUNDUP(H422*I422*K422,0)</f>
        <v>0</v>
      </c>
      <c r="M422" s="135" t="n">
        <f aca="false">P422</f>
        <v>219</v>
      </c>
      <c r="N422" s="136" t="n">
        <f aca="false">ROUND(L422*M422,2)</f>
        <v>0</v>
      </c>
      <c r="O422" s="137" t="n">
        <f aca="false">INT(I422*H422)</f>
        <v>0</v>
      </c>
      <c r="P422" s="135" t="n">
        <f aca="false">IF(D422="","",VLOOKUP(D422,matriz_codigo_prezos,6,FALSE()))</f>
        <v>219</v>
      </c>
      <c r="Q422" s="138" t="n">
        <f aca="false">IF(O422="","",ROUND(O422*P422,2))</f>
        <v>0</v>
      </c>
      <c r="R422" s="199"/>
      <c r="S422" s="198"/>
    </row>
    <row r="423" customFormat="false" ht="13.8" hidden="false" customHeight="false" outlineLevel="0" collapsed="false">
      <c r="A423" s="128"/>
      <c r="B423" s="128"/>
      <c r="C423" s="73"/>
      <c r="D423" s="139"/>
      <c r="E423" s="130" t="str">
        <f aca="false">IF(D423="","",VLOOKUP(D423,matriz_codigo_prezos,2,FALSE()))</f>
        <v/>
      </c>
      <c r="F423" s="131"/>
      <c r="G423" s="129"/>
      <c r="H423" s="157"/>
      <c r="I423" s="232"/>
      <c r="J423" s="236"/>
      <c r="K423" s="134"/>
      <c r="L423" s="129"/>
      <c r="M423" s="135"/>
      <c r="N423" s="136"/>
      <c r="O423" s="137"/>
      <c r="P423" s="135"/>
      <c r="Q423" s="138"/>
      <c r="R423" s="199"/>
      <c r="S423" s="198"/>
    </row>
    <row r="424" s="36" customFormat="true" ht="12.8" hidden="false" customHeight="false" outlineLevel="0" collapsed="false">
      <c r="A424" s="101" t="s">
        <v>308</v>
      </c>
      <c r="B424" s="101"/>
      <c r="C424" s="101"/>
      <c r="D424" s="101"/>
      <c r="E424" s="102" t="str">
        <f aca="false">IF(D424="","",VLOOKUP(D424,matriz_codigo_prezos,2,FALSE()))</f>
        <v/>
      </c>
      <c r="F424" s="101"/>
      <c r="G424" s="103"/>
      <c r="H424" s="103"/>
      <c r="I424" s="103"/>
      <c r="J424" s="103"/>
      <c r="K424" s="103"/>
      <c r="L424" s="103"/>
      <c r="M424" s="103"/>
      <c r="N424" s="103"/>
      <c r="O424" s="103"/>
      <c r="P424" s="103"/>
      <c r="Q424" s="103"/>
      <c r="R424" s="191"/>
      <c r="S424" s="222"/>
      <c r="U424" s="152"/>
    </row>
    <row r="425" s="36" customFormat="true" ht="12.8" hidden="false" customHeight="false" outlineLevel="0" collapsed="false">
      <c r="A425" s="106" t="s">
        <v>309</v>
      </c>
      <c r="B425" s="106"/>
      <c r="C425" s="106"/>
      <c r="D425" s="106"/>
      <c r="E425" s="107"/>
      <c r="F425" s="106"/>
      <c r="G425" s="108"/>
      <c r="H425" s="108"/>
      <c r="I425" s="240"/>
      <c r="J425" s="236"/>
      <c r="K425" s="241"/>
      <c r="L425" s="135"/>
      <c r="M425" s="135"/>
      <c r="N425" s="141"/>
      <c r="O425" s="133"/>
      <c r="P425" s="135"/>
      <c r="Q425" s="138"/>
      <c r="R425" s="224"/>
      <c r="S425" s="222"/>
      <c r="U425" s="152"/>
    </row>
    <row r="426" customFormat="false" ht="83.55" hidden="false" customHeight="false" outlineLevel="0" collapsed="false">
      <c r="A426" s="33"/>
      <c r="B426" s="33"/>
      <c r="C426" s="148" t="s">
        <v>310</v>
      </c>
      <c r="D426" s="118"/>
      <c r="E426" s="119"/>
      <c r="F426" s="118"/>
      <c r="G426" s="120"/>
      <c r="H426" s="120"/>
      <c r="I426" s="245"/>
      <c r="J426" s="167"/>
      <c r="K426" s="228"/>
      <c r="L426" s="129"/>
      <c r="M426" s="135"/>
      <c r="N426" s="141"/>
      <c r="O426" s="137"/>
      <c r="P426" s="135"/>
      <c r="Q426" s="138"/>
      <c r="R426" s="199"/>
      <c r="S426" s="198"/>
    </row>
    <row r="427" customFormat="false" ht="13.8" hidden="false" customHeight="false" outlineLevel="0" collapsed="false">
      <c r="A427" s="115"/>
      <c r="B427" s="116" t="s">
        <v>167</v>
      </c>
      <c r="C427" s="205" t="s">
        <v>213</v>
      </c>
      <c r="D427" s="139"/>
      <c r="E427" s="130"/>
      <c r="F427" s="244"/>
      <c r="G427" s="129"/>
      <c r="H427" s="157"/>
      <c r="I427" s="133"/>
      <c r="J427" s="133"/>
      <c r="K427" s="143"/>
      <c r="L427" s="129"/>
      <c r="M427" s="135"/>
      <c r="N427" s="141"/>
      <c r="O427" s="137"/>
      <c r="P427" s="135"/>
      <c r="Q427" s="136"/>
      <c r="R427" s="197"/>
      <c r="S427" s="198"/>
    </row>
    <row r="428" customFormat="false" ht="17.9" hidden="false" customHeight="false" outlineLevel="0" collapsed="false">
      <c r="A428" s="128"/>
      <c r="B428" s="128"/>
      <c r="C428" s="36"/>
      <c r="D428" s="139" t="s">
        <v>152</v>
      </c>
      <c r="E428" s="130" t="str">
        <f aca="false">IF(D428="","",VLOOKUP(D428,matriz_codigo_prezos,2,FALSE()))</f>
        <v>Resistencia á fragmentación Ensaio "Os Ánxeles" UNE EN 1097-2 ou equivalente</v>
      </c>
      <c r="F428" s="131" t="n">
        <v>1</v>
      </c>
      <c r="G428" s="129" t="s">
        <v>311</v>
      </c>
      <c r="H428" s="132" t="n">
        <v>4</v>
      </c>
      <c r="I428" s="232" t="n">
        <f aca="false">IF(   AND(  A$427&gt;0, ISNUMBER(A$427)  ),   A$427,   0   )</f>
        <v>0</v>
      </c>
      <c r="J428" s="233" t="s">
        <v>71</v>
      </c>
      <c r="K428" s="134" t="n">
        <f aca="false">$N$6</f>
        <v>0.3</v>
      </c>
      <c r="L428" s="129" t="n">
        <f aca="false">ROUNDUP(H428*I428*K428,0)</f>
        <v>0</v>
      </c>
      <c r="M428" s="135" t="n">
        <f aca="false">P428</f>
        <v>104</v>
      </c>
      <c r="N428" s="136" t="n">
        <f aca="false">ROUND(L428*M428,2)</f>
        <v>0</v>
      </c>
      <c r="O428" s="137" t="n">
        <f aca="false">INT(+I428*H428)</f>
        <v>0</v>
      </c>
      <c r="P428" s="135" t="n">
        <f aca="false">IF(D428="","",VLOOKUP(D428,matriz_codigo_prezos,6,FALSE()))</f>
        <v>104</v>
      </c>
      <c r="Q428" s="138" t="n">
        <f aca="false">IF(O428="","",ROUND(O428*P428,2))</f>
        <v>0</v>
      </c>
      <c r="R428" s="231" t="s">
        <v>312</v>
      </c>
      <c r="S428" s="226"/>
    </row>
    <row r="429" customFormat="false" ht="17.9" hidden="false" customHeight="false" outlineLevel="0" collapsed="false">
      <c r="A429" s="128"/>
      <c r="B429" s="128"/>
      <c r="C429" s="36"/>
      <c r="D429" s="139" t="s">
        <v>214</v>
      </c>
      <c r="E429" s="130" t="str">
        <f aca="false">IF(D429="","",VLOOKUP(D429,matriz_codigo_prezos,2,FALSE()))</f>
        <v>Coeficiente de Pulido Acelerado C.P.A. do árido groso UNE EN 1097-8 ou equivalente</v>
      </c>
      <c r="F429" s="131" t="n">
        <v>1</v>
      </c>
      <c r="G429" s="129" t="s">
        <v>311</v>
      </c>
      <c r="H429" s="132" t="n">
        <v>4</v>
      </c>
      <c r="I429" s="232" t="n">
        <f aca="false">IF(   AND(  A$427&gt;0, ISNUMBER(A$427)  ),   A$427,   0   )</f>
        <v>0</v>
      </c>
      <c r="J429" s="233" t="s">
        <v>71</v>
      </c>
      <c r="K429" s="134" t="n">
        <f aca="false">$N$6</f>
        <v>0.3</v>
      </c>
      <c r="L429" s="129" t="n">
        <f aca="false">ROUNDUP(H429*I429*K429,0)</f>
        <v>0</v>
      </c>
      <c r="M429" s="135" t="n">
        <f aca="false">P429</f>
        <v>644</v>
      </c>
      <c r="N429" s="136" t="n">
        <f aca="false">ROUND(L429*M429,2)</f>
        <v>0</v>
      </c>
      <c r="O429" s="137" t="n">
        <f aca="false">INT(+I429*H429)</f>
        <v>0</v>
      </c>
      <c r="P429" s="135" t="n">
        <f aca="false">IF(D429="","",VLOOKUP(D429,matriz_codigo_prezos,6,FALSE()))</f>
        <v>644</v>
      </c>
      <c r="Q429" s="138" t="n">
        <f aca="false">IF(O429="","",ROUND(O429*P429,2))</f>
        <v>0</v>
      </c>
      <c r="R429" s="231"/>
      <c r="S429" s="198"/>
    </row>
    <row r="430" customFormat="false" ht="13.8" hidden="false" customHeight="false" outlineLevel="0" collapsed="false">
      <c r="A430" s="128"/>
      <c r="B430" s="128"/>
      <c r="C430" s="36"/>
      <c r="D430" s="139" t="s">
        <v>154</v>
      </c>
      <c r="E430" s="130" t="str">
        <f aca="false">IF(D430="","",VLOOKUP(D430,matriz_codigo_prezos,2,FALSE()))</f>
        <v>Índice de laxas do árido groso UNE EN 933-3 ou equivalente</v>
      </c>
      <c r="F430" s="131" t="n">
        <v>1</v>
      </c>
      <c r="G430" s="129" t="s">
        <v>311</v>
      </c>
      <c r="H430" s="132" t="n">
        <v>4</v>
      </c>
      <c r="I430" s="232" t="n">
        <f aca="false">IF(   AND(  A$427&gt;0, ISNUMBER(A$427)  ),   A$427,   0   )</f>
        <v>0</v>
      </c>
      <c r="J430" s="233" t="s">
        <v>71</v>
      </c>
      <c r="K430" s="134" t="n">
        <f aca="false">$N$6</f>
        <v>0.3</v>
      </c>
      <c r="L430" s="129" t="n">
        <f aca="false">ROUNDUP(H430*I430*K430,0)</f>
        <v>0</v>
      </c>
      <c r="M430" s="135" t="n">
        <f aca="false">P430</f>
        <v>66</v>
      </c>
      <c r="N430" s="136" t="n">
        <f aca="false">ROUND(L430*M430,2)</f>
        <v>0</v>
      </c>
      <c r="O430" s="137" t="n">
        <f aca="false">INT(+I430*H430)</f>
        <v>0</v>
      </c>
      <c r="P430" s="135" t="n">
        <f aca="false">IF(D430="","",VLOOKUP(D430,matriz_codigo_prezos,6,FALSE()))</f>
        <v>66</v>
      </c>
      <c r="Q430" s="138" t="n">
        <f aca="false">IF(O430="","",ROUND(O430*P430,2))</f>
        <v>0</v>
      </c>
      <c r="R430" s="231"/>
      <c r="S430" s="198"/>
    </row>
    <row r="431" customFormat="false" ht="13.8" hidden="false" customHeight="false" outlineLevel="0" collapsed="false">
      <c r="A431" s="128"/>
      <c r="B431" s="128"/>
      <c r="C431" s="36"/>
      <c r="D431" s="139" t="s">
        <v>155</v>
      </c>
      <c r="E431" s="130" t="str">
        <f aca="false">IF(D431="","",VLOOKUP(D431,matriz_codigo_prezos,2,FALSE()))</f>
        <v>Porcentaxe de caras de fractura do árido groso UNE EN 933-5 ou equivalente</v>
      </c>
      <c r="F431" s="131" t="n">
        <v>1</v>
      </c>
      <c r="G431" s="129" t="s">
        <v>311</v>
      </c>
      <c r="H431" s="132" t="n">
        <v>4</v>
      </c>
      <c r="I431" s="232" t="n">
        <f aca="false">IF(   AND(  A$427&gt;0, ISNUMBER(A$427)  ),   A$427,   0   )</f>
        <v>0</v>
      </c>
      <c r="J431" s="233" t="s">
        <v>71</v>
      </c>
      <c r="K431" s="134" t="n">
        <f aca="false">$N$6</f>
        <v>0.3</v>
      </c>
      <c r="L431" s="129" t="n">
        <f aca="false">ROUNDUP(H431*I431*K431,0)</f>
        <v>0</v>
      </c>
      <c r="M431" s="135" t="n">
        <f aca="false">P431</f>
        <v>35</v>
      </c>
      <c r="N431" s="136" t="n">
        <f aca="false">ROUND(L431*M431,2)</f>
        <v>0</v>
      </c>
      <c r="O431" s="137" t="n">
        <f aca="false">INT(+I431*H431)</f>
        <v>0</v>
      </c>
      <c r="P431" s="135" t="n">
        <f aca="false">IF(D431="","",VLOOKUP(D431,matriz_codigo_prezos,6,FALSE()))</f>
        <v>35</v>
      </c>
      <c r="Q431" s="138" t="n">
        <f aca="false">IF(O431="","",ROUND(O431*P431,2))</f>
        <v>0</v>
      </c>
      <c r="R431" s="231"/>
      <c r="S431" s="198"/>
    </row>
    <row r="432" customFormat="false" ht="13.8" hidden="false" customHeight="false" outlineLevel="0" collapsed="false">
      <c r="A432" s="128"/>
      <c r="B432" s="128"/>
      <c r="C432" s="36"/>
      <c r="D432" s="139" t="s">
        <v>215</v>
      </c>
      <c r="E432" s="130" t="str">
        <f aca="false">IF(D432="","",VLOOKUP(D432,matriz_codigo_prezos,2,FALSE()))</f>
        <v>Densidade relativa e absorción do árido groso UNE EN 1097-6 ou equivalente</v>
      </c>
      <c r="F432" s="131" t="n">
        <v>1</v>
      </c>
      <c r="G432" s="129" t="s">
        <v>311</v>
      </c>
      <c r="H432" s="132" t="n">
        <v>4</v>
      </c>
      <c r="I432" s="232" t="n">
        <f aca="false">IF(   AND(  A$427&gt;0, ISNUMBER(A$427)  ),   A$427,   0   )</f>
        <v>0</v>
      </c>
      <c r="J432" s="233" t="s">
        <v>71</v>
      </c>
      <c r="K432" s="134" t="n">
        <f aca="false">$N$6</f>
        <v>0.3</v>
      </c>
      <c r="L432" s="129" t="n">
        <f aca="false">ROUNDUP(H432*I432*K432,0)</f>
        <v>0</v>
      </c>
      <c r="M432" s="135" t="n">
        <f aca="false">P432</f>
        <v>50</v>
      </c>
      <c r="N432" s="136" t="n">
        <f aca="false">ROUND(L432*M432,2)</f>
        <v>0</v>
      </c>
      <c r="O432" s="137" t="n">
        <f aca="false">INT(+I432*H432)</f>
        <v>0</v>
      </c>
      <c r="P432" s="135" t="n">
        <f aca="false">IF(D432="","",VLOOKUP(D432,matriz_codigo_prezos,6,FALSE()))</f>
        <v>50</v>
      </c>
      <c r="Q432" s="138" t="n">
        <f aca="false">IF(O432="","",ROUND(O432*P432,2))</f>
        <v>0</v>
      </c>
      <c r="R432" s="231"/>
      <c r="S432" s="198"/>
    </row>
    <row r="433" customFormat="false" ht="17.9" hidden="false" customHeight="false" outlineLevel="0" collapsed="false">
      <c r="A433" s="128"/>
      <c r="B433" s="128"/>
      <c r="C433" s="36"/>
      <c r="D433" s="139" t="s">
        <v>217</v>
      </c>
      <c r="E433" s="130" t="str">
        <f aca="false">IF(D433="","",VLOOKUP(D433,matriz_codigo_prezos,2,FALSE()))</f>
        <v>Análise granulométrica por tamizado (solos UNE 103101 ou equivalente) (aridos UNE EN 933-1 ou equivalente)</v>
      </c>
      <c r="F433" s="131" t="n">
        <v>1</v>
      </c>
      <c r="G433" s="129" t="s">
        <v>311</v>
      </c>
      <c r="H433" s="132" t="n">
        <v>4</v>
      </c>
      <c r="I433" s="232" t="n">
        <f aca="false">IF(   AND(  A$427&gt;0, ISNUMBER(A$427)  ),   A$427,   0   )</f>
        <v>0</v>
      </c>
      <c r="J433" s="233" t="s">
        <v>71</v>
      </c>
      <c r="K433" s="134" t="n">
        <f aca="false">$N$6</f>
        <v>0.3</v>
      </c>
      <c r="L433" s="129" t="n">
        <f aca="false">ROUNDUP(H433*I433*K433,0)</f>
        <v>0</v>
      </c>
      <c r="M433" s="135" t="n">
        <f aca="false">P433</f>
        <v>44</v>
      </c>
      <c r="N433" s="136" t="n">
        <f aca="false">ROUND(L433*M433,2)</f>
        <v>0</v>
      </c>
      <c r="O433" s="137" t="n">
        <f aca="false">INT(+I433*H433)</f>
        <v>0</v>
      </c>
      <c r="P433" s="135" t="n">
        <f aca="false">IF(D433="","",VLOOKUP(D433,matriz_codigo_prezos,6,FALSE()))</f>
        <v>44</v>
      </c>
      <c r="Q433" s="138" t="n">
        <f aca="false">IF(O433="","",ROUND(O433*P433,2))</f>
        <v>0</v>
      </c>
      <c r="R433" s="231"/>
      <c r="S433" s="198"/>
    </row>
    <row r="434" customFormat="false" ht="13.8" hidden="false" customHeight="false" outlineLevel="0" collapsed="false">
      <c r="A434" s="115"/>
      <c r="B434" s="116" t="s">
        <v>167</v>
      </c>
      <c r="C434" s="205" t="s">
        <v>219</v>
      </c>
      <c r="D434" s="139"/>
      <c r="E434" s="130"/>
      <c r="F434" s="244"/>
      <c r="G434" s="129"/>
      <c r="H434" s="157"/>
      <c r="I434" s="133"/>
      <c r="J434" s="133"/>
      <c r="K434" s="143"/>
      <c r="L434" s="129"/>
      <c r="M434" s="135"/>
      <c r="N434" s="136"/>
      <c r="O434" s="137"/>
      <c r="P434" s="135"/>
      <c r="Q434" s="136"/>
      <c r="R434" s="197"/>
      <c r="S434" s="198"/>
    </row>
    <row r="435" customFormat="false" ht="17.9" hidden="false" customHeight="false" outlineLevel="0" collapsed="false">
      <c r="A435" s="128"/>
      <c r="B435" s="128"/>
      <c r="C435" s="36"/>
      <c r="D435" s="139" t="s">
        <v>220</v>
      </c>
      <c r="E435" s="130" t="str">
        <f aca="false">IF(D435="","",VLOOKUP(D435,matriz_codigo_prezos,2,FALSE()))</f>
        <v>Densidade relativa e absorción do árido fino UNE EN 1097-6 ou equivalente</v>
      </c>
      <c r="F435" s="131" t="n">
        <v>1</v>
      </c>
      <c r="G435" s="129" t="s">
        <v>311</v>
      </c>
      <c r="H435" s="132" t="n">
        <f aca="false">4*2</f>
        <v>8</v>
      </c>
      <c r="I435" s="232" t="n">
        <f aca="false">IF(   AND(  A$434&gt;0, ISNUMBER(A$434)  ),   A$434,   0   )</f>
        <v>0</v>
      </c>
      <c r="J435" s="233" t="s">
        <v>71</v>
      </c>
      <c r="K435" s="134" t="n">
        <f aca="false">$N$6</f>
        <v>0.3</v>
      </c>
      <c r="L435" s="129" t="n">
        <f aca="false">ROUNDUP(H435*I435*K435,0)</f>
        <v>0</v>
      </c>
      <c r="M435" s="135" t="n">
        <f aca="false">P435</f>
        <v>63</v>
      </c>
      <c r="N435" s="136" t="n">
        <f aca="false">ROUND(L435*M435,2)</f>
        <v>0</v>
      </c>
      <c r="O435" s="137" t="n">
        <f aca="false">INT(+I435*H435)</f>
        <v>0</v>
      </c>
      <c r="P435" s="135" t="n">
        <f aca="false">IF(D435="","",VLOOKUP(D435,matriz_codigo_prezos,6,FALSE()))</f>
        <v>63</v>
      </c>
      <c r="Q435" s="138" t="n">
        <f aca="false">IF(O435="","",ROUND(O435*P435,2))</f>
        <v>0</v>
      </c>
      <c r="R435" s="231" t="s">
        <v>221</v>
      </c>
      <c r="S435" s="198"/>
    </row>
    <row r="436" customFormat="false" ht="17.9" hidden="false" customHeight="false" outlineLevel="0" collapsed="false">
      <c r="A436" s="128"/>
      <c r="B436" s="128"/>
      <c r="C436" s="36"/>
      <c r="D436" s="139" t="s">
        <v>217</v>
      </c>
      <c r="E436" s="130" t="str">
        <f aca="false">IF(D436="","",VLOOKUP(D436,matriz_codigo_prezos,2,FALSE()))</f>
        <v>Análise granulométrica por tamizado (solos UNE 103101 ou equivalente) (aridos UNE EN 933-1 ou equivalente)</v>
      </c>
      <c r="F436" s="131" t="n">
        <v>1</v>
      </c>
      <c r="G436" s="129" t="s">
        <v>311</v>
      </c>
      <c r="H436" s="132" t="n">
        <f aca="false">4*2</f>
        <v>8</v>
      </c>
      <c r="I436" s="232" t="n">
        <f aca="false">IF(   AND(  A$434&gt;0, ISNUMBER(A$434)  ),   A$434,   0   )</f>
        <v>0</v>
      </c>
      <c r="J436" s="233" t="s">
        <v>71</v>
      </c>
      <c r="K436" s="134" t="n">
        <f aca="false">$N$6</f>
        <v>0.3</v>
      </c>
      <c r="L436" s="129" t="n">
        <f aca="false">ROUNDUP(H436*I436*K436,0)</f>
        <v>0</v>
      </c>
      <c r="M436" s="135" t="n">
        <f aca="false">P436</f>
        <v>44</v>
      </c>
      <c r="N436" s="136" t="n">
        <f aca="false">ROUND(L436*M436,2)</f>
        <v>0</v>
      </c>
      <c r="O436" s="137" t="n">
        <f aca="false">INT(+I436*H436)</f>
        <v>0</v>
      </c>
      <c r="P436" s="135" t="n">
        <f aca="false">IF(D436="","",VLOOKUP(D436,matriz_codigo_prezos,6,FALSE()))</f>
        <v>44</v>
      </c>
      <c r="Q436" s="138" t="n">
        <f aca="false">IF(O436="","",ROUND(O436*P436,2))</f>
        <v>0</v>
      </c>
      <c r="R436" s="231"/>
      <c r="S436" s="198"/>
    </row>
    <row r="437" customFormat="false" ht="13.8" hidden="false" customHeight="false" outlineLevel="0" collapsed="false">
      <c r="A437" s="128"/>
      <c r="B437" s="128"/>
      <c r="C437" s="36"/>
      <c r="D437" s="129" t="s">
        <v>222</v>
      </c>
      <c r="E437" s="130" t="str">
        <f aca="false">IF(D437="","",VLOOKUP(D437,matriz_codigo_prezos,2,FALSE()))</f>
        <v>Equivalente de Area UNE EN 933-8 ou equivalente (Anexo A)</v>
      </c>
      <c r="F437" s="131" t="n">
        <v>1</v>
      </c>
      <c r="G437" s="129" t="s">
        <v>311</v>
      </c>
      <c r="H437" s="132" t="n">
        <f aca="false">4*2</f>
        <v>8</v>
      </c>
      <c r="I437" s="232" t="n">
        <f aca="false">IF(   AND(  A$434&gt;0, ISNUMBER(A$434)  ),   A$434,   0   )</f>
        <v>0</v>
      </c>
      <c r="J437" s="233" t="s">
        <v>71</v>
      </c>
      <c r="K437" s="134" t="n">
        <f aca="false">$N$6</f>
        <v>0.3</v>
      </c>
      <c r="L437" s="129" t="n">
        <f aca="false">ROUNDUP(H437*I437*K437,0)</f>
        <v>0</v>
      </c>
      <c r="M437" s="135" t="n">
        <f aca="false">P437</f>
        <v>51</v>
      </c>
      <c r="N437" s="136" t="n">
        <f aca="false">ROUND(L437*M437,2)</f>
        <v>0</v>
      </c>
      <c r="O437" s="137" t="n">
        <f aca="false">INT(+I437*H437)</f>
        <v>0</v>
      </c>
      <c r="P437" s="135" t="n">
        <f aca="false">IF(D437="","",VLOOKUP(D437,matriz_codigo_prezos,6,FALSE()))</f>
        <v>51</v>
      </c>
      <c r="Q437" s="138" t="n">
        <f aca="false">IF(O437="","",ROUND(O437*P437,2))</f>
        <v>0</v>
      </c>
      <c r="R437" s="231"/>
      <c r="S437" s="198"/>
    </row>
    <row r="438" customFormat="false" ht="13.8" hidden="false" customHeight="false" outlineLevel="0" collapsed="false">
      <c r="A438" s="115"/>
      <c r="B438" s="116" t="s">
        <v>167</v>
      </c>
      <c r="C438" s="205" t="s">
        <v>223</v>
      </c>
      <c r="D438" s="139"/>
      <c r="E438" s="130"/>
      <c r="F438" s="244"/>
      <c r="G438" s="129"/>
      <c r="H438" s="157"/>
      <c r="I438" s="133"/>
      <c r="J438" s="133"/>
      <c r="K438" s="143"/>
      <c r="L438" s="129"/>
      <c r="M438" s="135"/>
      <c r="N438" s="136"/>
      <c r="O438" s="137"/>
      <c r="P438" s="135"/>
      <c r="Q438" s="136"/>
      <c r="R438" s="197"/>
      <c r="S438" s="198"/>
    </row>
    <row r="439" customFormat="false" ht="13.8" hidden="false" customHeight="false" outlineLevel="0" collapsed="false">
      <c r="A439" s="128"/>
      <c r="B439" s="128"/>
      <c r="C439" s="36"/>
      <c r="D439" s="139" t="s">
        <v>224</v>
      </c>
      <c r="E439" s="130" t="str">
        <f aca="false">IF(D439="","",VLOOKUP(D439,matriz_codigo_prezos,2,FALSE()))</f>
        <v>Densidade aparente do po mineral UNE EN 1097-3 ou equivalente Anexo A</v>
      </c>
      <c r="F439" s="131" t="n">
        <v>1</v>
      </c>
      <c r="G439" s="129" t="s">
        <v>311</v>
      </c>
      <c r="H439" s="132" t="n">
        <v>4</v>
      </c>
      <c r="I439" s="232" t="n">
        <f aca="false">IF(   AND(  A$438&gt;0, ISNUMBER(A$438)  ),   A$438,   0   )</f>
        <v>0</v>
      </c>
      <c r="J439" s="233" t="s">
        <v>71</v>
      </c>
      <c r="K439" s="134" t="n">
        <f aca="false">$N$6</f>
        <v>0.3</v>
      </c>
      <c r="L439" s="129" t="n">
        <f aca="false">ROUNDUP(H439*I439*K439,0)</f>
        <v>0</v>
      </c>
      <c r="M439" s="135" t="n">
        <f aca="false">P439</f>
        <v>30</v>
      </c>
      <c r="N439" s="136" t="n">
        <f aca="false">ROUND(L439*M439,2)</f>
        <v>0</v>
      </c>
      <c r="O439" s="137" t="n">
        <f aca="false">INT(+I439*H439)</f>
        <v>0</v>
      </c>
      <c r="P439" s="135" t="n">
        <f aca="false">IF(D439="","",VLOOKUP(D439,matriz_codigo_prezos,6,FALSE()))</f>
        <v>30</v>
      </c>
      <c r="Q439" s="138" t="n">
        <f aca="false">IF(O439="","",ROUND(O439*P439,2))</f>
        <v>0</v>
      </c>
      <c r="R439" s="203" t="s">
        <v>225</v>
      </c>
      <c r="S439" s="198"/>
    </row>
    <row r="440" customFormat="false" ht="13.8" hidden="false" customHeight="false" outlineLevel="0" collapsed="false">
      <c r="A440" s="106" t="s">
        <v>313</v>
      </c>
      <c r="B440" s="106"/>
      <c r="C440" s="106"/>
      <c r="D440" s="106"/>
      <c r="E440" s="107"/>
      <c r="F440" s="106"/>
      <c r="G440" s="108"/>
      <c r="H440" s="108"/>
      <c r="I440" s="240"/>
      <c r="J440" s="236"/>
      <c r="K440" s="134"/>
      <c r="L440" s="129"/>
      <c r="M440" s="135"/>
      <c r="N440" s="136"/>
      <c r="O440" s="137"/>
      <c r="P440" s="135"/>
      <c r="Q440" s="138"/>
      <c r="R440" s="224"/>
      <c r="S440" s="198"/>
    </row>
    <row r="441" customFormat="false" ht="50.7" hidden="false" customHeight="false" outlineLevel="0" collapsed="false">
      <c r="A441" s="128"/>
      <c r="B441" s="128"/>
      <c r="C441" s="148" t="s">
        <v>314</v>
      </c>
      <c r="D441" s="118"/>
      <c r="E441" s="119"/>
      <c r="F441" s="118"/>
      <c r="G441" s="120"/>
      <c r="H441" s="120"/>
      <c r="I441" s="245"/>
      <c r="J441" s="236"/>
      <c r="K441" s="228"/>
      <c r="L441" s="129"/>
      <c r="M441" s="135"/>
      <c r="N441" s="141"/>
      <c r="O441" s="137"/>
      <c r="P441" s="135"/>
      <c r="Q441" s="138"/>
      <c r="R441" s="199"/>
      <c r="S441" s="198"/>
    </row>
    <row r="442" customFormat="false" ht="13.8" hidden="false" customHeight="false" outlineLevel="0" collapsed="false">
      <c r="A442" s="128"/>
      <c r="B442" s="128"/>
      <c r="C442" s="205" t="s">
        <v>228</v>
      </c>
      <c r="D442" s="139"/>
      <c r="E442" s="130"/>
      <c r="F442" s="244"/>
      <c r="G442" s="129"/>
      <c r="H442" s="157"/>
      <c r="I442" s="232"/>
      <c r="J442" s="167"/>
      <c r="K442" s="228"/>
      <c r="L442" s="129"/>
      <c r="M442" s="135"/>
      <c r="N442" s="141"/>
      <c r="O442" s="137"/>
      <c r="P442" s="135"/>
      <c r="Q442" s="138"/>
      <c r="R442" s="199"/>
      <c r="S442" s="198"/>
    </row>
    <row r="443" customFormat="false" ht="13.8" hidden="false" customHeight="false" outlineLevel="0" collapsed="false">
      <c r="A443" s="115"/>
      <c r="B443" s="116" t="s">
        <v>194</v>
      </c>
      <c r="C443" s="205" t="s">
        <v>315</v>
      </c>
      <c r="D443" s="139"/>
      <c r="E443" s="130"/>
      <c r="F443" s="131"/>
      <c r="G443" s="129"/>
      <c r="H443" s="132"/>
      <c r="I443" s="133"/>
      <c r="J443" s="133"/>
      <c r="K443" s="204"/>
      <c r="L443" s="129"/>
      <c r="M443" s="135"/>
      <c r="N443" s="136"/>
      <c r="O443" s="137"/>
      <c r="P443" s="135"/>
      <c r="Q443" s="136"/>
      <c r="R443" s="197"/>
      <c r="S443" s="198"/>
    </row>
    <row r="444" customFormat="false" ht="17.9" hidden="false" customHeight="false" outlineLevel="0" collapsed="false">
      <c r="A444" s="128"/>
      <c r="B444" s="128"/>
      <c r="C444" s="36"/>
      <c r="D444" s="139" t="s">
        <v>217</v>
      </c>
      <c r="E444" s="130" t="str">
        <f aca="false">IF(D444="","",VLOOKUP(D444,matriz_codigo_prezos,2,FALSE()))</f>
        <v>Análise granulométrica por tamizado (solos UNE 103101 ou equivalente) (aridos UNE EN 933-1 ou equivalente)</v>
      </c>
      <c r="F444" s="256" t="n">
        <v>70</v>
      </c>
      <c r="G444" s="257" t="s">
        <v>194</v>
      </c>
      <c r="H444" s="263" t="n">
        <v>1</v>
      </c>
      <c r="I444" s="232" t="n">
        <f aca="false">ROUNDUP(A$443/F444,0)</f>
        <v>0</v>
      </c>
      <c r="J444" s="233" t="s">
        <v>71</v>
      </c>
      <c r="K444" s="134" t="n">
        <f aca="false">$N$6</f>
        <v>0.3</v>
      </c>
      <c r="L444" s="129" t="n">
        <f aca="false">ROUNDUP(H444*I444*K444,0)</f>
        <v>0</v>
      </c>
      <c r="M444" s="135" t="n">
        <f aca="false">P444</f>
        <v>44</v>
      </c>
      <c r="N444" s="136" t="n">
        <f aca="false">ROUND(L444*M444,2)</f>
        <v>0</v>
      </c>
      <c r="O444" s="264" t="n">
        <f aca="false">INT(+I444*H444)</f>
        <v>0</v>
      </c>
      <c r="P444" s="135" t="n">
        <f aca="false">IF(D444="","",VLOOKUP(D444,matriz_codigo_prezos,6,FALSE()))</f>
        <v>44</v>
      </c>
      <c r="Q444" s="138" t="n">
        <f aca="false">IF(O444="","",ROUND(O444*P444,2))</f>
        <v>0</v>
      </c>
      <c r="R444" s="203" t="s">
        <v>316</v>
      </c>
      <c r="S444" s="265"/>
      <c r="T444" s="266"/>
      <c r="U444" s="32"/>
      <c r="V444" s="266"/>
      <c r="W444" s="266"/>
      <c r="X444" s="266"/>
      <c r="Y444" s="266"/>
      <c r="Z444" s="266"/>
      <c r="AA444" s="266"/>
      <c r="AB444" s="266"/>
    </row>
    <row r="445" customFormat="false" ht="13.8" hidden="false" customHeight="false" outlineLevel="0" collapsed="false">
      <c r="A445" s="128"/>
      <c r="B445" s="128"/>
      <c r="C445" s="36"/>
      <c r="D445" s="129" t="s">
        <v>222</v>
      </c>
      <c r="E445" s="130" t="str">
        <f aca="false">IF(D445="","",VLOOKUP(D445,matriz_codigo_prezos,2,FALSE()))</f>
        <v>Equivalente de Area UNE EN 933-8 ou equivalente (Anexo A)</v>
      </c>
      <c r="F445" s="131" t="n">
        <v>70</v>
      </c>
      <c r="G445" s="129" t="s">
        <v>194</v>
      </c>
      <c r="H445" s="132" t="n">
        <v>2</v>
      </c>
      <c r="I445" s="232" t="n">
        <f aca="false">ROUNDUP(A$443/F445,0)</f>
        <v>0</v>
      </c>
      <c r="J445" s="233" t="s">
        <v>71</v>
      </c>
      <c r="K445" s="134" t="n">
        <f aca="false">$N$6</f>
        <v>0.3</v>
      </c>
      <c r="L445" s="129" t="n">
        <f aca="false">ROUNDUP(H445*I445*K445,0)</f>
        <v>0</v>
      </c>
      <c r="M445" s="135" t="n">
        <f aca="false">P445</f>
        <v>51</v>
      </c>
      <c r="N445" s="136" t="n">
        <f aca="false">ROUND(L445*M445,2)</f>
        <v>0</v>
      </c>
      <c r="O445" s="137" t="n">
        <f aca="false">INT(+I445*H445)</f>
        <v>0</v>
      </c>
      <c r="P445" s="135" t="n">
        <f aca="false">IF(D445="","",VLOOKUP(D445,matriz_codigo_prezos,6,FALSE()))</f>
        <v>51</v>
      </c>
      <c r="Q445" s="138" t="n">
        <f aca="false">IF(O445="","",ROUND(O445*P445,2))</f>
        <v>0</v>
      </c>
      <c r="R445" s="203" t="s">
        <v>317</v>
      </c>
      <c r="S445" s="198"/>
    </row>
    <row r="446" customFormat="false" ht="58.95" hidden="false" customHeight="false" outlineLevel="0" collapsed="false">
      <c r="A446" s="115"/>
      <c r="B446" s="116" t="s">
        <v>239</v>
      </c>
      <c r="C446" s="148" t="s">
        <v>240</v>
      </c>
      <c r="D446" s="118"/>
      <c r="E446" s="119"/>
      <c r="F446" s="244"/>
      <c r="G446" s="129"/>
      <c r="H446" s="157"/>
      <c r="I446" s="133"/>
      <c r="J446" s="167"/>
      <c r="K446" s="143"/>
      <c r="L446" s="129"/>
      <c r="M446" s="135"/>
      <c r="N446" s="136"/>
      <c r="O446" s="137"/>
      <c r="P446" s="135"/>
      <c r="Q446" s="136"/>
      <c r="R446" s="197"/>
      <c r="S446" s="198"/>
    </row>
    <row r="447" customFormat="false" ht="13.8" hidden="false" customHeight="false" outlineLevel="0" collapsed="false">
      <c r="A447" s="128"/>
      <c r="B447" s="128"/>
      <c r="C447" s="36"/>
      <c r="D447" s="139" t="s">
        <v>224</v>
      </c>
      <c r="E447" s="130" t="str">
        <f aca="false">IF(D447="","",VLOOKUP(D447,matriz_codigo_prezos,2,FALSE()))</f>
        <v>Densidade aparente do po mineral UNE EN 1097-3 ou equivalente Anexo A</v>
      </c>
      <c r="F447" s="131" t="n">
        <v>1</v>
      </c>
      <c r="G447" s="129" t="s">
        <v>239</v>
      </c>
      <c r="H447" s="132" t="n">
        <v>1</v>
      </c>
      <c r="I447" s="232" t="n">
        <f aca="false">ROUNDUP(A$446/F447,0)</f>
        <v>0</v>
      </c>
      <c r="J447" s="233" t="s">
        <v>71</v>
      </c>
      <c r="K447" s="134" t="n">
        <f aca="false">$N$6</f>
        <v>0.3</v>
      </c>
      <c r="L447" s="129" t="n">
        <f aca="false">ROUNDUP(H447*I447*K447,0)</f>
        <v>0</v>
      </c>
      <c r="M447" s="135" t="n">
        <f aca="false">P447</f>
        <v>30</v>
      </c>
      <c r="N447" s="136" t="n">
        <f aca="false">ROUND(L447*M447,2)</f>
        <v>0</v>
      </c>
      <c r="O447" s="137" t="n">
        <f aca="false">INT(+I447*H447)</f>
        <v>0</v>
      </c>
      <c r="P447" s="135" t="n">
        <f aca="false">IF(D447="","",VLOOKUP(D447,matriz_codigo_prezos,6,FALSE()))</f>
        <v>30</v>
      </c>
      <c r="Q447" s="138" t="n">
        <f aca="false">IF(O447="","",ROUND(O447*P447,2))</f>
        <v>0</v>
      </c>
      <c r="R447" s="203" t="s">
        <v>225</v>
      </c>
      <c r="S447" s="198"/>
    </row>
    <row r="448" customFormat="false" ht="13.8" hidden="false" customHeight="false" outlineLevel="0" collapsed="false">
      <c r="A448" s="128"/>
      <c r="B448" s="128"/>
      <c r="C448" s="73"/>
      <c r="D448" s="139"/>
      <c r="E448" s="130" t="str">
        <f aca="false">IF(D448="","",VLOOKUP(D448,matriz_codigo_prezos,2,FALSE()))</f>
        <v/>
      </c>
      <c r="F448" s="131"/>
      <c r="G448" s="129"/>
      <c r="H448" s="132"/>
      <c r="I448" s="232"/>
      <c r="J448" s="236"/>
      <c r="K448" s="134"/>
      <c r="L448" s="129"/>
      <c r="M448" s="135"/>
      <c r="N448" s="136"/>
      <c r="O448" s="137"/>
      <c r="P448" s="135"/>
      <c r="Q448" s="138"/>
      <c r="R448" s="224"/>
      <c r="S448" s="198"/>
    </row>
    <row r="449" s="36" customFormat="true" ht="13.8" hidden="false" customHeight="false" outlineLevel="0" collapsed="false">
      <c r="A449" s="101" t="s">
        <v>318</v>
      </c>
      <c r="B449" s="101"/>
      <c r="C449" s="101"/>
      <c r="D449" s="101"/>
      <c r="E449" s="102" t="str">
        <f aca="false">IF(D449="","",VLOOKUP(D449,matriz_codigo_prezos,2,FALSE()))</f>
        <v/>
      </c>
      <c r="F449" s="101"/>
      <c r="G449" s="103"/>
      <c r="H449" s="103"/>
      <c r="I449" s="103"/>
      <c r="J449" s="103"/>
      <c r="K449" s="103"/>
      <c r="L449" s="103"/>
      <c r="M449" s="103"/>
      <c r="N449" s="103"/>
      <c r="O449" s="103"/>
      <c r="P449" s="103"/>
      <c r="Q449" s="103"/>
      <c r="R449" s="191"/>
      <c r="S449" s="222"/>
      <c r="U449" s="152"/>
    </row>
    <row r="450" customFormat="false" ht="13.8" hidden="false" customHeight="false" outlineLevel="0" collapsed="false">
      <c r="A450" s="106" t="s">
        <v>319</v>
      </c>
      <c r="B450" s="106"/>
      <c r="C450" s="106"/>
      <c r="D450" s="106"/>
      <c r="E450" s="107"/>
      <c r="F450" s="106"/>
      <c r="G450" s="108"/>
      <c r="H450" s="108"/>
      <c r="I450" s="240"/>
      <c r="J450" s="236"/>
      <c r="K450" s="134"/>
      <c r="L450" s="129"/>
      <c r="M450" s="135"/>
      <c r="N450" s="136"/>
      <c r="O450" s="137"/>
      <c r="P450" s="135"/>
      <c r="Q450" s="138"/>
      <c r="R450" s="224"/>
      <c r="S450" s="198"/>
    </row>
    <row r="451" customFormat="false" ht="42.5" hidden="false" customHeight="false" outlineLevel="0" collapsed="false">
      <c r="A451" s="115"/>
      <c r="B451" s="116" t="s">
        <v>320</v>
      </c>
      <c r="C451" s="148" t="s">
        <v>321</v>
      </c>
      <c r="D451" s="118"/>
      <c r="E451" s="119"/>
      <c r="F451" s="256"/>
      <c r="G451" s="129"/>
      <c r="H451" s="234"/>
      <c r="I451" s="133"/>
      <c r="J451" s="167"/>
      <c r="K451" s="143"/>
      <c r="L451" s="129"/>
      <c r="M451" s="135"/>
      <c r="N451" s="141"/>
      <c r="O451" s="137"/>
      <c r="P451" s="135"/>
      <c r="Q451" s="136"/>
      <c r="R451" s="197"/>
      <c r="S451" s="198"/>
    </row>
    <row r="452" customFormat="false" ht="13.8" hidden="false" customHeight="false" outlineLevel="0" collapsed="false">
      <c r="A452" s="128"/>
      <c r="B452" s="128"/>
      <c r="C452" s="36"/>
      <c r="D452" s="139" t="s">
        <v>258</v>
      </c>
      <c r="E452" s="130" t="str">
        <f aca="false">IF(D452="","",VLOOKUP(D452,matriz_codigo_prezos,2,FALSE()))</f>
        <v>Granulometría dos áridos extraídos UNE EN 12697-2 ou equivalente</v>
      </c>
      <c r="F452" s="131" t="n">
        <v>1</v>
      </c>
      <c r="G452" s="129" t="s">
        <v>119</v>
      </c>
      <c r="H452" s="132" t="n">
        <v>1</v>
      </c>
      <c r="I452" s="232" t="n">
        <f aca="false">ROUNDUP(A$451/F452,0)</f>
        <v>0</v>
      </c>
      <c r="J452" s="233" t="s">
        <v>71</v>
      </c>
      <c r="K452" s="134" t="n">
        <f aca="false">$N$6</f>
        <v>0.3</v>
      </c>
      <c r="L452" s="129" t="n">
        <f aca="false">ROUNDUP(H452*I452*K452,0)</f>
        <v>0</v>
      </c>
      <c r="M452" s="135" t="n">
        <f aca="false">P452</f>
        <v>41</v>
      </c>
      <c r="N452" s="136" t="n">
        <f aca="false">ROUND(L452*M452,2)</f>
        <v>0</v>
      </c>
      <c r="O452" s="137" t="n">
        <f aca="false">INT(I452*H452)</f>
        <v>0</v>
      </c>
      <c r="P452" s="135" t="n">
        <f aca="false">IF(D452="","",VLOOKUP(D452,matriz_codigo_prezos,6,FALSE()))</f>
        <v>41</v>
      </c>
      <c r="Q452" s="138" t="n">
        <f aca="false">IF(O452="","",ROUND(O452*P452,2))</f>
        <v>0</v>
      </c>
      <c r="R452" s="199"/>
      <c r="S452" s="198"/>
    </row>
    <row r="453" customFormat="false" ht="17.9" hidden="false" customHeight="false" outlineLevel="0" collapsed="false">
      <c r="A453" s="128"/>
      <c r="B453" s="128"/>
      <c r="C453" s="36"/>
      <c r="D453" s="139" t="s">
        <v>322</v>
      </c>
      <c r="E453" s="130" t="str">
        <f aca="false">IF(D453="","",VLOOKUP(D453,matriz_codigo_prezos,2,FALSE()))</f>
        <v>Determinación do contido de ligante residual UNE EN 12274-2 ou equivalente</v>
      </c>
      <c r="F453" s="131" t="n">
        <v>1</v>
      </c>
      <c r="G453" s="129" t="s">
        <v>119</v>
      </c>
      <c r="H453" s="132" t="n">
        <v>1</v>
      </c>
      <c r="I453" s="232" t="n">
        <f aca="false">ROUNDUP(A$451/F453,0)</f>
        <v>0</v>
      </c>
      <c r="J453" s="233" t="s">
        <v>71</v>
      </c>
      <c r="K453" s="134" t="n">
        <f aca="false">$N$6</f>
        <v>0.3</v>
      </c>
      <c r="L453" s="129" t="n">
        <f aca="false">ROUNDUP(H453*I453*K453,0)</f>
        <v>0</v>
      </c>
      <c r="M453" s="135" t="n">
        <f aca="false">P453</f>
        <v>86</v>
      </c>
      <c r="N453" s="136" t="n">
        <f aca="false">ROUND(L453*M453,2)</f>
        <v>0</v>
      </c>
      <c r="O453" s="137" t="n">
        <f aca="false">INT(I453*H453)</f>
        <v>0</v>
      </c>
      <c r="P453" s="135" t="n">
        <f aca="false">IF(D453="","",VLOOKUP(D453,matriz_codigo_prezos,6,FALSE()))</f>
        <v>86</v>
      </c>
      <c r="Q453" s="138" t="n">
        <f aca="false">IF(O453="","",ROUND(O453*P453,2))</f>
        <v>0</v>
      </c>
      <c r="R453" s="199"/>
      <c r="S453" s="198"/>
    </row>
    <row r="454" customFormat="false" ht="13.8" hidden="false" customHeight="false" outlineLevel="0" collapsed="false">
      <c r="A454" s="128"/>
      <c r="B454" s="128"/>
      <c r="C454" s="36"/>
      <c r="D454" s="139" t="s">
        <v>323</v>
      </c>
      <c r="E454" s="130" t="str">
        <f aca="false">IF(D454="","",VLOOKUP(D454,matriz_codigo_prezos,2,FALSE()))</f>
        <v>Consistencia UNE EN 12274-3 ou equivalente</v>
      </c>
      <c r="F454" s="131" t="n">
        <v>1</v>
      </c>
      <c r="G454" s="129" t="s">
        <v>119</v>
      </c>
      <c r="H454" s="132" t="n">
        <v>1</v>
      </c>
      <c r="I454" s="232" t="n">
        <f aca="false">ROUNDUP(A$451/F454,0)</f>
        <v>0</v>
      </c>
      <c r="J454" s="233" t="s">
        <v>71</v>
      </c>
      <c r="K454" s="134" t="n">
        <f aca="false">$N$6</f>
        <v>0.3</v>
      </c>
      <c r="L454" s="129" t="n">
        <f aca="false">ROUNDUP(H454*I454*K454,0)</f>
        <v>0</v>
      </c>
      <c r="M454" s="135" t="n">
        <f aca="false">P454</f>
        <v>250</v>
      </c>
      <c r="N454" s="136" t="n">
        <f aca="false">ROUND(L454*M454,2)</f>
        <v>0</v>
      </c>
      <c r="O454" s="137" t="n">
        <f aca="false">INT(I454*H454)</f>
        <v>0</v>
      </c>
      <c r="P454" s="135" t="n">
        <f aca="false">IF(D454="","",VLOOKUP(D454,matriz_codigo_prezos,6,FALSE()))</f>
        <v>250</v>
      </c>
      <c r="Q454" s="138" t="n">
        <f aca="false">IF(O454="","",ROUND(O454*P454,2))</f>
        <v>0</v>
      </c>
      <c r="R454" s="199"/>
      <c r="S454" s="198"/>
    </row>
    <row r="455" customFormat="false" ht="13.8" hidden="false" customHeight="false" outlineLevel="0" collapsed="false">
      <c r="A455" s="128"/>
      <c r="B455" s="128"/>
      <c r="C455" s="36"/>
      <c r="D455" s="139" t="s">
        <v>324</v>
      </c>
      <c r="E455" s="130" t="str">
        <f aca="false">IF(D455="","",VLOOKUP(D455,matriz_codigo_prezos,2,FALSE()))</f>
        <v>Desgaste ou perda á abrasión por vía húmida UNE EN 12274-5 ou equivalente</v>
      </c>
      <c r="F455" s="131" t="n">
        <v>1</v>
      </c>
      <c r="G455" s="129" t="s">
        <v>119</v>
      </c>
      <c r="H455" s="132" t="n">
        <v>1</v>
      </c>
      <c r="I455" s="232" t="n">
        <f aca="false">ROUNDUP(A$451/F455,0)</f>
        <v>0</v>
      </c>
      <c r="J455" s="233" t="s">
        <v>71</v>
      </c>
      <c r="K455" s="134" t="n">
        <f aca="false">$N$6</f>
        <v>0.3</v>
      </c>
      <c r="L455" s="129" t="n">
        <f aca="false">ROUNDUP(H455*I455*K455,0)</f>
        <v>0</v>
      </c>
      <c r="M455" s="135" t="n">
        <f aca="false">P455</f>
        <v>220</v>
      </c>
      <c r="N455" s="136" t="n">
        <f aca="false">ROUND(L455*M455,2)</f>
        <v>0</v>
      </c>
      <c r="O455" s="137" t="n">
        <f aca="false">INT(I455*H455)</f>
        <v>0</v>
      </c>
      <c r="P455" s="135" t="n">
        <f aca="false">IF(D455="","",VLOOKUP(D455,matriz_codigo_prezos,6,FALSE()))</f>
        <v>220</v>
      </c>
      <c r="Q455" s="138" t="n">
        <f aca="false">IF(O455="","",ROUND(O455*P455,2))</f>
        <v>0</v>
      </c>
      <c r="R455" s="199"/>
      <c r="S455" s="198"/>
    </row>
    <row r="456" customFormat="false" ht="17.9" hidden="false" customHeight="false" outlineLevel="0" collapsed="false">
      <c r="A456" s="128"/>
      <c r="B456" s="128"/>
      <c r="C456" s="36"/>
      <c r="D456" s="139" t="s">
        <v>325</v>
      </c>
      <c r="E456" s="130" t="str">
        <f aca="false">IF(D456="","",VLOOKUP(D456,matriz_codigo_prezos,2,FALSE()))</f>
        <v>Cohesión. Tempo para acadar un par de torsión de 20 kgf ·cm, UNE EN 12274-4 ou equivalente</v>
      </c>
      <c r="F456" s="131" t="n">
        <v>1</v>
      </c>
      <c r="G456" s="129" t="s">
        <v>119</v>
      </c>
      <c r="H456" s="234" t="n">
        <v>1</v>
      </c>
      <c r="I456" s="232" t="n">
        <f aca="false">ROUNDUP(A$451/F456,0)</f>
        <v>0</v>
      </c>
      <c r="J456" s="233" t="s">
        <v>71</v>
      </c>
      <c r="K456" s="134" t="n">
        <f aca="false">$N$6</f>
        <v>0.3</v>
      </c>
      <c r="L456" s="129" t="n">
        <f aca="false">ROUNDUP(H456*I456*K456,0)</f>
        <v>0</v>
      </c>
      <c r="M456" s="135" t="n">
        <f aca="false">P456</f>
        <v>575</v>
      </c>
      <c r="N456" s="136" t="n">
        <f aca="false">ROUND(L456*M456,2)</f>
        <v>0</v>
      </c>
      <c r="O456" s="137" t="n">
        <f aca="false">INT(I456*H456)</f>
        <v>0</v>
      </c>
      <c r="P456" s="135" t="n">
        <f aca="false">IF(D456="","",VLOOKUP(D456,matriz_codigo_prezos,6,FALSE()))</f>
        <v>575</v>
      </c>
      <c r="Q456" s="138" t="n">
        <f aca="false">IF(O456="","",ROUND(O456*P456,2))</f>
        <v>0</v>
      </c>
      <c r="R456" s="199"/>
      <c r="S456" s="198"/>
    </row>
    <row r="457" customFormat="false" ht="17.9" hidden="false" customHeight="false" outlineLevel="0" collapsed="false">
      <c r="A457" s="128"/>
      <c r="B457" s="128"/>
      <c r="C457" s="36"/>
      <c r="D457" s="139" t="s">
        <v>265</v>
      </c>
      <c r="E457" s="130" t="str">
        <f aca="false">IF(D457="","",VLOOKUP(D457,matriz_codigo_prezos,2,FALSE()))</f>
        <v>Macrotextura superficial mediante círculo de area en capa de rodadura UNE EN 13036-1 ou equivalente</v>
      </c>
      <c r="F457" s="131" t="n">
        <v>1</v>
      </c>
      <c r="G457" s="129" t="s">
        <v>119</v>
      </c>
      <c r="H457" s="234" t="n">
        <v>3</v>
      </c>
      <c r="I457" s="232" t="n">
        <f aca="false">ROUNDUP(A$451/F457,0)</f>
        <v>0</v>
      </c>
      <c r="J457" s="233" t="s">
        <v>71</v>
      </c>
      <c r="K457" s="134" t="n">
        <f aca="false">$N$6</f>
        <v>0.3</v>
      </c>
      <c r="L457" s="129" t="n">
        <f aca="false">ROUNDUP(H457*I457*K457,0)</f>
        <v>0</v>
      </c>
      <c r="M457" s="135" t="n">
        <f aca="false">P457</f>
        <v>69</v>
      </c>
      <c r="N457" s="136" t="n">
        <f aca="false">ROUND(L457*M457,2)</f>
        <v>0</v>
      </c>
      <c r="O457" s="137" t="n">
        <f aca="false">INT(I457*H457)</f>
        <v>0</v>
      </c>
      <c r="P457" s="135" t="n">
        <f aca="false">IF(D457="","",VLOOKUP(D457,matriz_codigo_prezos,6,FALSE()))</f>
        <v>69</v>
      </c>
      <c r="Q457" s="138" t="n">
        <f aca="false">IF(O457="","",ROUND(O457*P457,2))</f>
        <v>0</v>
      </c>
      <c r="R457" s="203" t="s">
        <v>293</v>
      </c>
      <c r="S457" s="198"/>
    </row>
    <row r="458" customFormat="false" ht="26.1" hidden="false" customHeight="false" outlineLevel="0" collapsed="false">
      <c r="A458" s="128"/>
      <c r="B458" s="128"/>
      <c r="C458" s="36"/>
      <c r="D458" s="139" t="s">
        <v>263</v>
      </c>
      <c r="E458" s="130" t="str">
        <f aca="false">IF(D458="","",VLOOKUP(D458,matriz_codigo_prezos,2,FALSE()))</f>
        <v>Xornada de determinación “in situ” da resistencia ao deslizamento con péndulo TRRL sobre pavimento acabado e en condicións de uso, incluída a redacción de informe. UNE EN 13036-4 ou equivalente</v>
      </c>
      <c r="F458" s="256" t="n">
        <v>1</v>
      </c>
      <c r="G458" s="129" t="s">
        <v>119</v>
      </c>
      <c r="H458" s="132" t="n">
        <v>1</v>
      </c>
      <c r="I458" s="232" t="n">
        <f aca="false">ROUNDUP(A$451/F458,0)</f>
        <v>0</v>
      </c>
      <c r="J458" s="233" t="s">
        <v>71</v>
      </c>
      <c r="K458" s="134" t="n">
        <f aca="false">$N$6</f>
        <v>0.3</v>
      </c>
      <c r="L458" s="129" t="n">
        <f aca="false">ROUNDUP(H458*I458*K458,0)</f>
        <v>0</v>
      </c>
      <c r="M458" s="135" t="n">
        <f aca="false">P458</f>
        <v>650</v>
      </c>
      <c r="N458" s="136" t="n">
        <f aca="false">ROUND(L458*M458,2)</f>
        <v>0</v>
      </c>
      <c r="O458" s="137" t="n">
        <f aca="false">INT(I458*H458)</f>
        <v>0</v>
      </c>
      <c r="P458" s="135" t="n">
        <f aca="false">IF(D458="","",VLOOKUP(D458,matriz_codigo_prezos,6,FALSE()))</f>
        <v>650</v>
      </c>
      <c r="Q458" s="138" t="n">
        <f aca="false">IF(O458="","",ROUND(O458*P458,2))</f>
        <v>0</v>
      </c>
      <c r="R458" s="199"/>
      <c r="S458" s="198"/>
    </row>
    <row r="459" customFormat="false" ht="13.8" hidden="false" customHeight="false" outlineLevel="0" collapsed="false">
      <c r="A459" s="106" t="s">
        <v>326</v>
      </c>
      <c r="B459" s="106"/>
      <c r="C459" s="106"/>
      <c r="D459" s="106"/>
      <c r="E459" s="107"/>
      <c r="F459" s="106"/>
      <c r="G459" s="108"/>
      <c r="H459" s="108"/>
      <c r="I459" s="240"/>
      <c r="J459" s="236"/>
      <c r="K459" s="134"/>
      <c r="L459" s="129"/>
      <c r="M459" s="135"/>
      <c r="N459" s="136"/>
      <c r="O459" s="137"/>
      <c r="P459" s="135"/>
      <c r="Q459" s="138"/>
      <c r="R459" s="224"/>
      <c r="S459" s="198"/>
    </row>
    <row r="460" customFormat="false" ht="50.7" hidden="false" customHeight="false" outlineLevel="0" collapsed="false">
      <c r="A460" s="115"/>
      <c r="B460" s="116" t="s">
        <v>327</v>
      </c>
      <c r="C460" s="148" t="s">
        <v>328</v>
      </c>
      <c r="D460" s="118"/>
      <c r="E460" s="119"/>
      <c r="F460" s="244"/>
      <c r="G460" s="129"/>
      <c r="H460" s="234"/>
      <c r="I460" s="133"/>
      <c r="J460" s="167"/>
      <c r="K460" s="229"/>
      <c r="L460" s="129"/>
      <c r="M460" s="135"/>
      <c r="N460" s="136"/>
      <c r="O460" s="137"/>
      <c r="P460" s="135"/>
      <c r="Q460" s="136"/>
      <c r="R460" s="197"/>
      <c r="S460" s="198"/>
    </row>
    <row r="461" customFormat="false" ht="17.9" hidden="false" customHeight="false" outlineLevel="0" collapsed="false">
      <c r="A461" s="128"/>
      <c r="B461" s="128"/>
      <c r="C461" s="36"/>
      <c r="D461" s="139" t="s">
        <v>322</v>
      </c>
      <c r="E461" s="130" t="str">
        <f aca="false">IF(D461="","",VLOOKUP(D461,matriz_codigo_prezos,2,FALSE()))</f>
        <v>Determinación do contido de ligante residual UNE EN 12274-2 ou equivalente</v>
      </c>
      <c r="F461" s="131" t="n">
        <v>1</v>
      </c>
      <c r="G461" s="129" t="s">
        <v>327</v>
      </c>
      <c r="H461" s="132" t="n">
        <v>4</v>
      </c>
      <c r="I461" s="232" t="n">
        <f aca="false">ROUNDUP(A460/F461,0)</f>
        <v>0</v>
      </c>
      <c r="J461" s="233" t="s">
        <v>71</v>
      </c>
      <c r="K461" s="134" t="n">
        <f aca="false">$N$6</f>
        <v>0.3</v>
      </c>
      <c r="L461" s="129" t="n">
        <f aca="false">ROUNDUP(H461*I461*K461,0)</f>
        <v>0</v>
      </c>
      <c r="M461" s="135" t="n">
        <f aca="false">P461</f>
        <v>86</v>
      </c>
      <c r="N461" s="136" t="n">
        <f aca="false">ROUND(L461*M461,2)</f>
        <v>0</v>
      </c>
      <c r="O461" s="137" t="n">
        <f aca="false">INT(I461*H461)</f>
        <v>0</v>
      </c>
      <c r="P461" s="135" t="n">
        <f aca="false">IF(D461="","",VLOOKUP(D461,matriz_codigo_prezos,6,FALSE()))</f>
        <v>86</v>
      </c>
      <c r="Q461" s="138" t="n">
        <f aca="false">IF(O461="","",ROUND(O461*P461,2))</f>
        <v>0</v>
      </c>
      <c r="R461" s="199"/>
      <c r="S461" s="198"/>
    </row>
    <row r="462" customFormat="false" ht="13.8" hidden="false" customHeight="false" outlineLevel="0" collapsed="false">
      <c r="A462" s="106" t="s">
        <v>329</v>
      </c>
      <c r="B462" s="106"/>
      <c r="C462" s="106"/>
      <c r="D462" s="106"/>
      <c r="E462" s="107"/>
      <c r="F462" s="106"/>
      <c r="G462" s="108"/>
      <c r="H462" s="108"/>
      <c r="I462" s="240"/>
      <c r="J462" s="236"/>
      <c r="K462" s="134"/>
      <c r="L462" s="129"/>
      <c r="M462" s="135"/>
      <c r="N462" s="136"/>
      <c r="O462" s="137"/>
      <c r="P462" s="135"/>
      <c r="Q462" s="138"/>
      <c r="R462" s="224"/>
      <c r="S462" s="198"/>
    </row>
    <row r="463" customFormat="false" ht="13.8" hidden="false" customHeight="false" outlineLevel="0" collapsed="false">
      <c r="A463" s="33"/>
      <c r="B463" s="33"/>
      <c r="C463" s="205" t="s">
        <v>330</v>
      </c>
      <c r="D463" s="139"/>
      <c r="E463" s="130"/>
      <c r="F463" s="244"/>
      <c r="G463" s="129"/>
      <c r="H463" s="157"/>
      <c r="I463" s="232"/>
      <c r="J463" s="236"/>
      <c r="K463" s="243"/>
      <c r="L463" s="129"/>
      <c r="M463" s="135"/>
      <c r="N463" s="136"/>
      <c r="O463" s="137"/>
      <c r="P463" s="135"/>
      <c r="Q463" s="138"/>
      <c r="R463" s="199"/>
      <c r="S463" s="198"/>
    </row>
    <row r="464" customFormat="false" ht="13.8" hidden="false" customHeight="false" outlineLevel="0" collapsed="false">
      <c r="A464" s="115"/>
      <c r="B464" s="116" t="s">
        <v>327</v>
      </c>
      <c r="C464" s="205" t="s">
        <v>331</v>
      </c>
      <c r="D464" s="139"/>
      <c r="E464" s="130"/>
      <c r="F464" s="244"/>
      <c r="G464" s="129"/>
      <c r="H464" s="157"/>
      <c r="I464" s="133"/>
      <c r="J464" s="167"/>
      <c r="K464" s="229"/>
      <c r="L464" s="129"/>
      <c r="M464" s="135"/>
      <c r="N464" s="136"/>
      <c r="O464" s="137"/>
      <c r="P464" s="135"/>
      <c r="Q464" s="136"/>
      <c r="R464" s="197"/>
      <c r="S464" s="198"/>
    </row>
    <row r="465" customFormat="false" ht="17.9" hidden="false" customHeight="false" outlineLevel="0" collapsed="false">
      <c r="A465" s="128"/>
      <c r="B465" s="128"/>
      <c r="C465" s="36"/>
      <c r="D465" s="139" t="s">
        <v>265</v>
      </c>
      <c r="E465" s="130" t="str">
        <f aca="false">IF(D465="","",VLOOKUP(D465,matriz_codigo_prezos,2,FALSE()))</f>
        <v>Macrotextura superficial mediante círculo de area en capa de rodadura UNE EN 13036-1 ou equivalente</v>
      </c>
      <c r="F465" s="131" t="n">
        <v>1</v>
      </c>
      <c r="G465" s="129" t="s">
        <v>327</v>
      </c>
      <c r="H465" s="234" t="n">
        <v>3</v>
      </c>
      <c r="I465" s="232" t="n">
        <f aca="false">ROUNDUP(A464/F465,0)</f>
        <v>0</v>
      </c>
      <c r="J465" s="233" t="s">
        <v>71</v>
      </c>
      <c r="K465" s="134" t="n">
        <v>1</v>
      </c>
      <c r="L465" s="129" t="n">
        <f aca="false">ROUNDUP(H465*I465*K465,0)</f>
        <v>0</v>
      </c>
      <c r="M465" s="135" t="n">
        <f aca="false">P465</f>
        <v>69</v>
      </c>
      <c r="N465" s="136" t="n">
        <f aca="false">ROUND(L465*M465,2)</f>
        <v>0</v>
      </c>
      <c r="O465" s="137" t="n">
        <v>0</v>
      </c>
      <c r="P465" s="135" t="n">
        <f aca="false">IF(D465="","",VLOOKUP(D465,matriz_codigo_prezos,6,FALSE()))</f>
        <v>69</v>
      </c>
      <c r="Q465" s="138" t="n">
        <f aca="false">IF(O465="","",ROUND(O465*P465,2))</f>
        <v>0</v>
      </c>
      <c r="R465" s="203" t="s">
        <v>293</v>
      </c>
      <c r="S465" s="198"/>
    </row>
    <row r="466" customFormat="false" ht="13.8" hidden="false" customHeight="false" outlineLevel="0" collapsed="false">
      <c r="A466" s="115"/>
      <c r="B466" s="116" t="s">
        <v>280</v>
      </c>
      <c r="C466" s="205" t="s">
        <v>164</v>
      </c>
      <c r="D466" s="139"/>
      <c r="E466" s="130"/>
      <c r="F466" s="131"/>
      <c r="G466" s="129"/>
      <c r="H466" s="234"/>
      <c r="I466" s="133"/>
      <c r="J466" s="167"/>
      <c r="K466" s="229"/>
      <c r="L466" s="129"/>
      <c r="M466" s="135"/>
      <c r="N466" s="136"/>
      <c r="O466" s="137"/>
      <c r="P466" s="135"/>
      <c r="Q466" s="136"/>
      <c r="R466" s="219" t="s">
        <v>137</v>
      </c>
      <c r="S466" s="198"/>
    </row>
    <row r="467" customFormat="false" ht="26.1" hidden="false" customHeight="false" outlineLevel="0" collapsed="false">
      <c r="A467" s="128"/>
      <c r="B467" s="128"/>
      <c r="C467" s="36"/>
      <c r="D467" s="139" t="s">
        <v>282</v>
      </c>
      <c r="E467" s="130" t="str">
        <f aca="false">IF(D467="","",VLOOKUP(D467,matriz_codigo_prezos,2,FALSE()))</f>
        <v>Unidade de movilización e desprazamento de equipo para determinación do Coeficiente de Rozamento Transversal  (CRT) en capa de rodadura UNE 41201 IN ou equivalente</v>
      </c>
      <c r="F467" s="256"/>
      <c r="G467" s="129" t="s">
        <v>283</v>
      </c>
      <c r="H467" s="157" t="n">
        <v>1</v>
      </c>
      <c r="I467" s="232" t="n">
        <f aca="false">IF( A$466&gt;=30000, 1, 0)</f>
        <v>0</v>
      </c>
      <c r="J467" s="233" t="s">
        <v>71</v>
      </c>
      <c r="K467" s="134" t="n">
        <v>1</v>
      </c>
      <c r="L467" s="129" t="n">
        <f aca="false">ROUNDUP(H467*I467*K467,0)</f>
        <v>0</v>
      </c>
      <c r="M467" s="135" t="n">
        <f aca="false">P467</f>
        <v>6854</v>
      </c>
      <c r="N467" s="136" t="n">
        <f aca="false">ROUND(L467*M467,2)</f>
        <v>0</v>
      </c>
      <c r="O467" s="137" t="n">
        <v>0</v>
      </c>
      <c r="P467" s="135" t="n">
        <f aca="false">IF(D467="","",VLOOKUP(D467,matriz_codigo_prezos,6,FALSE()))</f>
        <v>6854</v>
      </c>
      <c r="Q467" s="138" t="n">
        <f aca="false">IF(O467="","",ROUND(O467*P467,2))</f>
        <v>0</v>
      </c>
      <c r="R467" s="231" t="s">
        <v>332</v>
      </c>
      <c r="S467" s="198"/>
    </row>
    <row r="468" customFormat="false" ht="17.9" hidden="false" customHeight="false" outlineLevel="0" collapsed="false">
      <c r="A468" s="128"/>
      <c r="B468" s="128"/>
      <c r="C468" s="36"/>
      <c r="D468" s="139" t="s">
        <v>285</v>
      </c>
      <c r="E468" s="130" t="str">
        <f aca="false">IF(D468="","",VLOOKUP(D468,matriz_codigo_prezos,2,FALSE()))</f>
        <v>Km de carril determinando o Coeficiente de Rozamento Transversal (CRT) en capa de rodadura UNE 41201 IN ou equivalente</v>
      </c>
      <c r="F468" s="131" t="n">
        <v>1000</v>
      </c>
      <c r="G468" s="129" t="s">
        <v>135</v>
      </c>
      <c r="H468" s="157" t="n">
        <v>1</v>
      </c>
      <c r="I468" s="232" t="n">
        <f aca="false">IF(   A$466&gt;=30000,   ROUNDUP(A466/F468,0),   0   )</f>
        <v>0</v>
      </c>
      <c r="J468" s="233" t="s">
        <v>71</v>
      </c>
      <c r="K468" s="134" t="n">
        <v>1</v>
      </c>
      <c r="L468" s="129" t="n">
        <f aca="false">ROUNDUP(H468*I468*K468,0)</f>
        <v>0</v>
      </c>
      <c r="M468" s="135" t="n">
        <f aca="false">P468</f>
        <v>35</v>
      </c>
      <c r="N468" s="136" t="n">
        <f aca="false">ROUND(L468*M468,2)</f>
        <v>0</v>
      </c>
      <c r="O468" s="137" t="n">
        <v>0</v>
      </c>
      <c r="P468" s="135" t="n">
        <f aca="false">IF(D468="","",VLOOKUP(D468,matriz_codigo_prezos,6,FALSE()))</f>
        <v>35</v>
      </c>
      <c r="Q468" s="138" t="n">
        <f aca="false">IF(O468="","",ROUND(O468*P468,2))</f>
        <v>0</v>
      </c>
      <c r="R468" s="231"/>
      <c r="S468" s="198"/>
    </row>
    <row r="469" customFormat="false" ht="42.5" hidden="false" customHeight="false" outlineLevel="0" collapsed="false">
      <c r="A469" s="128"/>
      <c r="B469" s="128"/>
      <c r="C469" s="36"/>
      <c r="D469" s="139" t="s">
        <v>263</v>
      </c>
      <c r="E469" s="130" t="str">
        <f aca="false">IF(D469="","",VLOOKUP(D469,matriz_codigo_prezos,2,FALSE()))</f>
        <v>Xornada de determinación “in situ” da resistencia ao deslizamento con péndulo TRRL sobre pavimento acabado e en condicións de uso, incluída a redacción de informe. UNE EN 13036-4 ou equivalente</v>
      </c>
      <c r="F469" s="256" t="n">
        <v>16</v>
      </c>
      <c r="G469" s="257" t="s">
        <v>286</v>
      </c>
      <c r="H469" s="132" t="n">
        <v>1</v>
      </c>
      <c r="I469" s="232" t="n">
        <f aca="false">IF(     AND(ISNUMBER($A$466), $A$466&lt;30000, $A$466&gt;0  ),     ROUNDUP(   MAX(3, $A$466/5000)   /   F469,0),     0      )</f>
        <v>0</v>
      </c>
      <c r="J469" s="233" t="s">
        <v>71</v>
      </c>
      <c r="K469" s="134" t="n">
        <v>1</v>
      </c>
      <c r="L469" s="129" t="n">
        <f aca="false">ROUNDUP(H469*I469*K469,0)</f>
        <v>0</v>
      </c>
      <c r="M469" s="135" t="n">
        <f aca="false">P469</f>
        <v>650</v>
      </c>
      <c r="N469" s="136" t="n">
        <f aca="false">ROUND(L469*M469,2)</f>
        <v>0</v>
      </c>
      <c r="O469" s="137" t="n">
        <v>0</v>
      </c>
      <c r="P469" s="135" t="n">
        <f aca="false">IF(D469="","",VLOOKUP(D469,matriz_codigo_prezos,6,FALSE()))</f>
        <v>650</v>
      </c>
      <c r="Q469" s="138" t="n">
        <f aca="false">IF(O469="","",ROUND(O469*P469,2))</f>
        <v>0</v>
      </c>
      <c r="R469" s="258" t="s">
        <v>333</v>
      </c>
      <c r="S469" s="259"/>
    </row>
    <row r="470" customFormat="false" ht="13.8" hidden="false" customHeight="false" outlineLevel="0" collapsed="false">
      <c r="C470" s="73"/>
      <c r="D470" s="139"/>
      <c r="E470" s="130" t="str">
        <f aca="false">IF(D470="","",VLOOKUP(D470,matriz_codigo_prezos,2,FALSE()))</f>
        <v/>
      </c>
      <c r="F470" s="25"/>
      <c r="G470" s="121"/>
      <c r="H470" s="121"/>
      <c r="I470" s="232"/>
      <c r="J470" s="236"/>
      <c r="K470" s="159"/>
      <c r="L470" s="129"/>
      <c r="M470" s="135"/>
      <c r="N470" s="136"/>
      <c r="O470" s="137"/>
      <c r="P470" s="135"/>
      <c r="Q470" s="138"/>
      <c r="R470" s="199"/>
      <c r="S470" s="198"/>
    </row>
    <row r="471" s="36" customFormat="true" ht="15" hidden="false" customHeight="false" outlineLevel="0" collapsed="false">
      <c r="A471" s="82" t="s">
        <v>334</v>
      </c>
      <c r="B471" s="82"/>
      <c r="C471" s="82"/>
      <c r="D471" s="82"/>
      <c r="E471" s="83" t="str">
        <f aca="false">IF(D471="","",VLOOKUP(D471,matriz_codigo_prezos,2,FALSE()))</f>
        <v/>
      </c>
      <c r="F471" s="82"/>
      <c r="G471" s="84"/>
      <c r="H471" s="84"/>
      <c r="I471" s="84"/>
      <c r="J471" s="84"/>
      <c r="K471" s="84"/>
      <c r="L471" s="84"/>
      <c r="M471" s="84"/>
      <c r="N471" s="84"/>
      <c r="O471" s="84"/>
      <c r="P471" s="84"/>
      <c r="Q471" s="84"/>
      <c r="R471" s="191"/>
      <c r="S471" s="222"/>
      <c r="U471" s="152"/>
    </row>
    <row r="472" customFormat="false" ht="13.8" hidden="false" customHeight="false" outlineLevel="0" collapsed="false">
      <c r="A472" s="106" t="s">
        <v>335</v>
      </c>
      <c r="B472" s="106"/>
      <c r="C472" s="106"/>
      <c r="D472" s="106"/>
      <c r="E472" s="107" t="str">
        <f aca="false">IF(D472="","",VLOOKUP(D472,matriz_codigo_prezos,2,FALSE()))</f>
        <v/>
      </c>
      <c r="F472" s="106"/>
      <c r="G472" s="108"/>
      <c r="H472" s="108"/>
      <c r="I472" s="240"/>
      <c r="J472" s="236"/>
      <c r="K472" s="243"/>
      <c r="L472" s="129"/>
      <c r="M472" s="135"/>
      <c r="N472" s="136"/>
      <c r="O472" s="137"/>
      <c r="P472" s="135"/>
      <c r="Q472" s="138"/>
      <c r="R472" s="267" t="s">
        <v>336</v>
      </c>
      <c r="S472" s="198"/>
    </row>
    <row r="473" customFormat="false" ht="58.95" hidden="false" customHeight="false" outlineLevel="0" collapsed="false">
      <c r="A473" s="115"/>
      <c r="B473" s="116" t="s">
        <v>68</v>
      </c>
      <c r="C473" s="148" t="s">
        <v>337</v>
      </c>
      <c r="D473" s="118"/>
      <c r="E473" s="119"/>
      <c r="F473" s="244"/>
      <c r="G473" s="129"/>
      <c r="H473" s="157"/>
      <c r="I473" s="133"/>
      <c r="J473" s="167"/>
      <c r="K473" s="143"/>
      <c r="L473" s="129"/>
      <c r="M473" s="135"/>
      <c r="N473" s="141"/>
      <c r="O473" s="137"/>
      <c r="P473" s="135"/>
      <c r="Q473" s="136"/>
      <c r="R473" s="197"/>
      <c r="S473" s="198"/>
    </row>
    <row r="474" customFormat="false" ht="34.3" hidden="false" customHeight="false" outlineLevel="0" collapsed="false">
      <c r="A474" s="128"/>
      <c r="B474" s="128"/>
      <c r="C474" s="36"/>
      <c r="D474" s="129" t="s">
        <v>338</v>
      </c>
      <c r="E474" s="130" t="str">
        <f aca="false">IF(D474="","",VLOOKUP(D474,matriz_codigo_prezos,2,FALSE()))</f>
        <v>Toma de mostra de formigón fresco, medida de cono, fabricación de 1 serie de 3 probetas prismáticas e ensaio a flexotracción, unha  a 7 e dúas a 28 días, (incluíndo desprazamentos) UNE EN 12390-2 ou equivalente, UNE EN 12390-5 ou equivalente</v>
      </c>
      <c r="F474" s="131" t="n">
        <v>3500</v>
      </c>
      <c r="G474" s="129" t="s">
        <v>68</v>
      </c>
      <c r="H474" s="157" t="n">
        <v>2</v>
      </c>
      <c r="I474" s="232" t="n">
        <f aca="false">ROUNDUP(A473/F474,0)</f>
        <v>0</v>
      </c>
      <c r="J474" s="233" t="s">
        <v>71</v>
      </c>
      <c r="K474" s="134" t="n">
        <f aca="false">$N$6</f>
        <v>0.3</v>
      </c>
      <c r="L474" s="129" t="n">
        <f aca="false">ROUNDUP(H474*I474*K474,0)</f>
        <v>0</v>
      </c>
      <c r="M474" s="135" t="n">
        <f aca="false">P474</f>
        <v>174</v>
      </c>
      <c r="N474" s="136" t="n">
        <f aca="false">ROUND(L474*M474,2)</f>
        <v>0</v>
      </c>
      <c r="O474" s="137" t="n">
        <f aca="false">INT(I474*H474)</f>
        <v>0</v>
      </c>
      <c r="P474" s="135" t="n">
        <f aca="false">IF(D474="","",VLOOKUP(D474,matriz_codigo_prezos,6,FALSE()))</f>
        <v>174</v>
      </c>
      <c r="Q474" s="138" t="n">
        <f aca="false">IF(O474="","",ROUND(O474*P474,2))</f>
        <v>0</v>
      </c>
      <c r="R474" s="199"/>
      <c r="S474" s="198"/>
    </row>
    <row r="475" customFormat="false" ht="13.8" hidden="false" customHeight="false" outlineLevel="0" collapsed="false">
      <c r="A475" s="106" t="s">
        <v>339</v>
      </c>
      <c r="B475" s="106"/>
      <c r="C475" s="106"/>
      <c r="D475" s="106"/>
      <c r="E475" s="107" t="str">
        <f aca="false">IF(D475="","",VLOOKUP(D475,matriz_codigo_prezos,2,FALSE()))</f>
        <v/>
      </c>
      <c r="F475" s="106"/>
      <c r="G475" s="108"/>
      <c r="H475" s="108"/>
      <c r="I475" s="240"/>
      <c r="J475" s="236"/>
      <c r="K475" s="243"/>
      <c r="L475" s="129"/>
      <c r="M475" s="135"/>
      <c r="N475" s="136"/>
      <c r="O475" s="137"/>
      <c r="P475" s="135"/>
      <c r="Q475" s="138"/>
      <c r="R475" s="267" t="s">
        <v>336</v>
      </c>
      <c r="S475" s="198"/>
    </row>
    <row r="476" customFormat="false" ht="13.8" hidden="false" customHeight="false" outlineLevel="0" collapsed="false">
      <c r="A476" s="115"/>
      <c r="B476" s="116" t="s">
        <v>340</v>
      </c>
      <c r="C476" s="205" t="s">
        <v>341</v>
      </c>
      <c r="D476" s="139"/>
      <c r="E476" s="130"/>
      <c r="F476" s="244"/>
      <c r="G476" s="129"/>
      <c r="H476" s="157"/>
      <c r="I476" s="133"/>
      <c r="J476" s="167"/>
      <c r="K476" s="229"/>
      <c r="L476" s="129"/>
      <c r="M476" s="135"/>
      <c r="N476" s="136"/>
      <c r="O476" s="137"/>
      <c r="P476" s="135"/>
      <c r="Q476" s="136"/>
      <c r="R476" s="197"/>
      <c r="S476" s="198"/>
    </row>
    <row r="477" customFormat="false" ht="17.9" hidden="false" customHeight="false" outlineLevel="0" collapsed="false">
      <c r="A477" s="268"/>
      <c r="B477" s="128"/>
      <c r="C477" s="36"/>
      <c r="D477" s="139" t="s">
        <v>342</v>
      </c>
      <c r="E477" s="130" t="str">
        <f aca="false">IF(D477="","",VLOOKUP(D477,matriz_codigo_prezos,2,FALSE()))</f>
        <v>Extracción de testemuña de formigón  e determinación do espesor e homoxeneidade. Mínimo facturable 3 testemuñas</v>
      </c>
      <c r="F477" s="131" t="n">
        <v>3500</v>
      </c>
      <c r="G477" s="129" t="s">
        <v>68</v>
      </c>
      <c r="H477" s="234" t="n">
        <v>2</v>
      </c>
      <c r="I477" s="232" t="n">
        <f aca="false">ROUNDUP(A$476/F477,0)</f>
        <v>0</v>
      </c>
      <c r="J477" s="233" t="s">
        <v>71</v>
      </c>
      <c r="K477" s="134" t="n">
        <f aca="false">$N$6</f>
        <v>0.3</v>
      </c>
      <c r="L477" s="129" t="n">
        <f aca="false">IF(  I477&gt;0,  MAX( 3, ROUNDUP(H477*I477*K477,0) ),  0  )</f>
        <v>0</v>
      </c>
      <c r="M477" s="135" t="n">
        <f aca="false">P477</f>
        <v>140</v>
      </c>
      <c r="N477" s="136" t="n">
        <f aca="false">ROUND(L477*M477,2)</f>
        <v>0</v>
      </c>
      <c r="O477" s="137" t="n">
        <f aca="false">IF(  I477&gt;0,  MAX( 3, INT(I477*H477) ),  0  )</f>
        <v>0</v>
      </c>
      <c r="P477" s="135" t="n">
        <f aca="false">IF(D477="","",VLOOKUP(D477,matriz_codigo_prezos,6,FALSE()))</f>
        <v>140</v>
      </c>
      <c r="Q477" s="138" t="n">
        <f aca="false">IF(O477="","",ROUND(O477*P477,2))</f>
        <v>0</v>
      </c>
      <c r="R477" s="203" t="s">
        <v>343</v>
      </c>
      <c r="S477" s="198"/>
    </row>
    <row r="478" customFormat="false" ht="17.9" hidden="false" customHeight="false" outlineLevel="0" collapsed="false">
      <c r="A478" s="128"/>
      <c r="B478" s="128"/>
      <c r="C478" s="36"/>
      <c r="D478" s="139" t="s">
        <v>265</v>
      </c>
      <c r="E478" s="130" t="str">
        <f aca="false">IF(D478="","",VLOOKUP(D478,matriz_codigo_prezos,2,FALSE()))</f>
        <v>Macrotextura superficial mediante círculo de area en capa de rodadura UNE EN 13036-1 ou equivalente</v>
      </c>
      <c r="F478" s="131" t="n">
        <v>3500</v>
      </c>
      <c r="G478" s="129" t="s">
        <v>68</v>
      </c>
      <c r="H478" s="234" t="n">
        <v>3</v>
      </c>
      <c r="I478" s="232" t="n">
        <f aca="false">ROUNDUP(A$476/F478,0)</f>
        <v>0</v>
      </c>
      <c r="J478" s="233" t="s">
        <v>71</v>
      </c>
      <c r="K478" s="134" t="n">
        <f aca="false">$N$6</f>
        <v>0.3</v>
      </c>
      <c r="L478" s="129" t="n">
        <f aca="false">ROUNDUP(H478*I478*K478,0)</f>
        <v>0</v>
      </c>
      <c r="M478" s="135" t="n">
        <f aca="false">P478</f>
        <v>69</v>
      </c>
      <c r="N478" s="136" t="n">
        <f aca="false">ROUND(L478*M478,2)</f>
        <v>0</v>
      </c>
      <c r="O478" s="137" t="n">
        <f aca="false">INT(I478*H478)</f>
        <v>0</v>
      </c>
      <c r="P478" s="135" t="n">
        <f aca="false">IF(D478="","",VLOOKUP(D478,matriz_codigo_prezos,6,FALSE()))</f>
        <v>69</v>
      </c>
      <c r="Q478" s="138" t="n">
        <f aca="false">IF(O478="","",ROUND(O478*P478,2))</f>
        <v>0</v>
      </c>
      <c r="R478" s="203" t="s">
        <v>293</v>
      </c>
      <c r="S478" s="198"/>
    </row>
    <row r="479" customFormat="false" ht="13.8" hidden="false" customHeight="false" outlineLevel="0" collapsed="false">
      <c r="A479" s="115"/>
      <c r="B479" s="116" t="s">
        <v>344</v>
      </c>
      <c r="C479" s="205" t="s">
        <v>345</v>
      </c>
      <c r="D479" s="139"/>
      <c r="E479" s="130"/>
      <c r="F479" s="131"/>
      <c r="G479" s="129"/>
      <c r="H479" s="132"/>
      <c r="I479" s="133"/>
      <c r="J479" s="167"/>
      <c r="K479" s="204"/>
      <c r="L479" s="129"/>
      <c r="M479" s="135"/>
      <c r="N479" s="136"/>
      <c r="O479" s="137"/>
      <c r="P479" s="135"/>
      <c r="Q479" s="136"/>
      <c r="R479" s="197"/>
      <c r="S479" s="198"/>
    </row>
    <row r="480" customFormat="false" ht="42.5" hidden="false" customHeight="false" outlineLevel="0" collapsed="false">
      <c r="A480" s="128"/>
      <c r="B480" s="128"/>
      <c r="C480" s="36"/>
      <c r="D480" s="139" t="s">
        <v>346</v>
      </c>
      <c r="E480" s="130" t="str">
        <f aca="false">IF(D480="","",VLOOKUP(D480,matriz_codigo_prezos,2,FALSE()))</f>
        <v>Xornada de determinación “in situ” da resistencia ao deslizamento con péndulo TRRL sobre pavimento acabado e en condicións de uso, incluída a redacción de informe. UNE 41901EX:2017 ou equivalente</v>
      </c>
      <c r="F480" s="256" t="n">
        <v>16</v>
      </c>
      <c r="G480" s="257" t="s">
        <v>286</v>
      </c>
      <c r="H480" s="132" t="n">
        <v>1</v>
      </c>
      <c r="I480" s="232" t="n">
        <f aca="false">IF(     $A$479&gt;0,     ROUNDUP(   MAX(3, $A$479/5000)   /   F480,0),     0      )</f>
        <v>0</v>
      </c>
      <c r="J480" s="233" t="s">
        <v>71</v>
      </c>
      <c r="K480" s="134" t="n">
        <f aca="false">$N$6</f>
        <v>0.3</v>
      </c>
      <c r="L480" s="129" t="n">
        <f aca="false">ROUNDUP(H480*I480*K480,0)</f>
        <v>0</v>
      </c>
      <c r="M480" s="135" t="n">
        <f aca="false">P480</f>
        <v>650</v>
      </c>
      <c r="N480" s="136" t="n">
        <f aca="false">ROUND(L480*M480,2)</f>
        <v>0</v>
      </c>
      <c r="O480" s="137" t="n">
        <f aca="false">INT(I480*H480)</f>
        <v>0</v>
      </c>
      <c r="P480" s="135" t="n">
        <f aca="false">IF(D480="","",VLOOKUP(D480,matriz_codigo_prezos,6,FALSE()))</f>
        <v>650</v>
      </c>
      <c r="Q480" s="138" t="n">
        <f aca="false">IF(O480="","",ROUND(O480*P480,2))</f>
        <v>0</v>
      </c>
      <c r="R480" s="258" t="s">
        <v>347</v>
      </c>
      <c r="S480" s="259"/>
    </row>
    <row r="481" customFormat="false" ht="13.8" hidden="false" customHeight="false" outlineLevel="0" collapsed="false">
      <c r="C481" s="73"/>
      <c r="D481" s="139"/>
      <c r="E481" s="130" t="str">
        <f aca="false">IF(D481="","",VLOOKUP(D481,matriz_codigo_prezos,2,FALSE()))</f>
        <v/>
      </c>
      <c r="F481" s="25"/>
      <c r="G481" s="121"/>
      <c r="H481" s="121"/>
      <c r="I481" s="232"/>
      <c r="J481" s="236"/>
      <c r="K481" s="159"/>
      <c r="L481" s="129"/>
      <c r="M481" s="135"/>
      <c r="N481" s="136"/>
      <c r="O481" s="137"/>
      <c r="P481" s="135"/>
      <c r="Q481" s="138"/>
      <c r="R481" s="199"/>
      <c r="S481" s="198"/>
    </row>
    <row r="482" s="174" customFormat="true" ht="17.35" hidden="false" customHeight="false" outlineLevel="0" collapsed="false">
      <c r="A482" s="76" t="s">
        <v>348</v>
      </c>
      <c r="B482" s="76"/>
      <c r="C482" s="76"/>
      <c r="D482" s="76"/>
      <c r="E482" s="170" t="str">
        <f aca="false">IF(D482="","",VLOOKUP(D482,matriz_codigo_prezos,2,FALSE()))</f>
        <v/>
      </c>
      <c r="F482" s="76"/>
      <c r="G482" s="171"/>
      <c r="H482" s="171"/>
      <c r="I482" s="171"/>
      <c r="J482" s="171"/>
      <c r="K482" s="171"/>
      <c r="L482" s="171"/>
      <c r="M482" s="171"/>
      <c r="N482" s="171"/>
      <c r="O482" s="171"/>
      <c r="P482" s="171"/>
      <c r="Q482" s="171"/>
      <c r="R482" s="172"/>
      <c r="S482" s="173"/>
      <c r="U482" s="175"/>
    </row>
    <row r="483" s="193" customFormat="true" ht="15" hidden="false" customHeight="false" outlineLevel="0" collapsed="false">
      <c r="A483" s="82" t="s">
        <v>349</v>
      </c>
      <c r="B483" s="82"/>
      <c r="C483" s="82"/>
      <c r="D483" s="82"/>
      <c r="E483" s="83" t="str">
        <f aca="false">IF(D483="","",VLOOKUP(D483,matriz_codigo_prezos,2,FALSE()))</f>
        <v/>
      </c>
      <c r="F483" s="82"/>
      <c r="G483" s="84"/>
      <c r="H483" s="84"/>
      <c r="I483" s="84"/>
      <c r="J483" s="84"/>
      <c r="K483" s="84"/>
      <c r="L483" s="84"/>
      <c r="M483" s="84"/>
      <c r="N483" s="84"/>
      <c r="O483" s="84"/>
      <c r="P483" s="84"/>
      <c r="Q483" s="84"/>
      <c r="R483" s="190"/>
      <c r="S483" s="192"/>
      <c r="U483" s="188"/>
    </row>
    <row r="484" customFormat="false" ht="13.8" hidden="false" customHeight="false" outlineLevel="0" collapsed="false">
      <c r="A484" s="106" t="s">
        <v>350</v>
      </c>
      <c r="B484" s="106"/>
      <c r="C484" s="106"/>
      <c r="D484" s="106"/>
      <c r="E484" s="107" t="str">
        <f aca="false">IF(D484="","",VLOOKUP(D484,matriz_codigo_prezos,2,FALSE()))</f>
        <v/>
      </c>
      <c r="F484" s="106"/>
      <c r="G484" s="108"/>
      <c r="H484" s="108"/>
      <c r="I484" s="240"/>
      <c r="J484" s="236"/>
      <c r="K484" s="243"/>
      <c r="L484" s="129"/>
      <c r="M484" s="135"/>
      <c r="N484" s="136"/>
      <c r="O484" s="137"/>
      <c r="P484" s="135"/>
      <c r="Q484" s="138"/>
      <c r="R484" s="199"/>
      <c r="S484" s="198"/>
    </row>
    <row r="485" customFormat="false" ht="42.5" hidden="false" customHeight="false" outlineLevel="0" collapsed="false">
      <c r="A485" s="115"/>
      <c r="B485" s="116" t="s">
        <v>344</v>
      </c>
      <c r="C485" s="148" t="s">
        <v>351</v>
      </c>
      <c r="D485" s="118"/>
      <c r="E485" s="119"/>
      <c r="F485" s="244"/>
      <c r="G485" s="129"/>
      <c r="H485" s="157"/>
      <c r="I485" s="133"/>
      <c r="J485" s="167"/>
      <c r="K485" s="143"/>
      <c r="L485" s="129"/>
      <c r="M485" s="135"/>
      <c r="N485" s="141"/>
      <c r="O485" s="137"/>
      <c r="P485" s="135"/>
      <c r="Q485" s="136"/>
      <c r="R485" s="197"/>
      <c r="S485" s="198"/>
    </row>
    <row r="486" customFormat="false" ht="26.1" hidden="false" customHeight="false" outlineLevel="0" collapsed="false">
      <c r="A486" s="128"/>
      <c r="B486" s="128"/>
      <c r="C486" s="36"/>
      <c r="D486" s="139" t="s">
        <v>352</v>
      </c>
      <c r="E486" s="130" t="str">
        <f aca="false">IF(D486="","",VLOOKUP(D486,matriz_codigo_prezos,2,FALSE()))</f>
        <v>Mostraxe sobre bandexas taradas e determinación global da dotación de pintura + microesferas aplicadas por metro cadrado (15 pares de bandexas) UNE 135274 ou equivalente</v>
      </c>
      <c r="F486" s="131" t="n">
        <v>3000</v>
      </c>
      <c r="G486" s="129" t="s">
        <v>344</v>
      </c>
      <c r="H486" s="234" t="n">
        <v>1</v>
      </c>
      <c r="I486" s="232" t="n">
        <f aca="false">ROUNDUP(A$485/F486,0)</f>
        <v>0</v>
      </c>
      <c r="J486" s="233" t="s">
        <v>71</v>
      </c>
      <c r="K486" s="134" t="n">
        <f aca="false">$N$6</f>
        <v>0.3</v>
      </c>
      <c r="L486" s="129" t="n">
        <f aca="false">ROUNDUP(H486*I486*K486,0)</f>
        <v>0</v>
      </c>
      <c r="M486" s="135" t="n">
        <f aca="false">P486</f>
        <v>345</v>
      </c>
      <c r="N486" s="136" t="n">
        <f aca="false">ROUND(L486*M486,2)</f>
        <v>0</v>
      </c>
      <c r="O486" s="137" t="n">
        <f aca="false">INT(I486*H486)</f>
        <v>0</v>
      </c>
      <c r="P486" s="135" t="n">
        <f aca="false">IF(D486="","",VLOOKUP(D486,matriz_codigo_prezos,6,FALSE()))</f>
        <v>345</v>
      </c>
      <c r="Q486" s="138" t="n">
        <f aca="false">IF(O486="","",ROUND(O486*P486,2))</f>
        <v>0</v>
      </c>
      <c r="R486" s="199"/>
      <c r="S486" s="198"/>
    </row>
    <row r="487" customFormat="false" ht="13.8" hidden="false" customHeight="false" outlineLevel="0" collapsed="false">
      <c r="A487" s="106" t="s">
        <v>330</v>
      </c>
      <c r="B487" s="106"/>
      <c r="C487" s="106"/>
      <c r="D487" s="106"/>
      <c r="E487" s="107" t="str">
        <f aca="false">IF(D487="","",VLOOKUP(D487,matriz_codigo_prezos,2,FALSE()))</f>
        <v/>
      </c>
      <c r="F487" s="106"/>
      <c r="G487" s="108"/>
      <c r="H487" s="108"/>
      <c r="I487" s="240"/>
      <c r="J487" s="236"/>
      <c r="K487" s="243"/>
      <c r="L487" s="129"/>
      <c r="M487" s="135"/>
      <c r="N487" s="136"/>
      <c r="O487" s="137"/>
      <c r="P487" s="135"/>
      <c r="Q487" s="138"/>
      <c r="R487" s="199"/>
      <c r="S487" s="198"/>
    </row>
    <row r="488" customFormat="false" ht="26.1" hidden="false" customHeight="false" outlineLevel="0" collapsed="false">
      <c r="A488" s="115"/>
      <c r="B488" s="116" t="s">
        <v>344</v>
      </c>
      <c r="C488" s="148" t="s">
        <v>330</v>
      </c>
      <c r="D488" s="118"/>
      <c r="E488" s="119"/>
      <c r="F488" s="244"/>
      <c r="G488" s="129"/>
      <c r="H488" s="157"/>
      <c r="I488" s="133"/>
      <c r="J488" s="137"/>
      <c r="K488" s="143"/>
      <c r="L488" s="129"/>
      <c r="M488" s="135"/>
      <c r="N488" s="136"/>
      <c r="O488" s="137"/>
      <c r="P488" s="135"/>
      <c r="Q488" s="136"/>
      <c r="R488" s="197"/>
      <c r="S488" s="198"/>
    </row>
    <row r="489" customFormat="false" ht="26.1" hidden="false" customHeight="false" outlineLevel="0" collapsed="false">
      <c r="A489" s="128"/>
      <c r="B489" s="128"/>
      <c r="C489" s="36"/>
      <c r="D489" s="139" t="s">
        <v>353</v>
      </c>
      <c r="E489" s="130" t="str">
        <f aca="false">IF(D489="","",VLOOKUP(D489,matriz_codigo_prezos,2,FALSE()))</f>
        <v>Movilización e desprazamento de equipo de alto rendemento (ECODYN) para a determinación da retrorreflexión. UNE EN 1436 ou equivalente (Por xornada)</v>
      </c>
      <c r="F489" s="131" t="n">
        <v>400000</v>
      </c>
      <c r="G489" s="129" t="s">
        <v>344</v>
      </c>
      <c r="H489" s="234" t="n">
        <v>1</v>
      </c>
      <c r="I489" s="232" t="n">
        <f aca="false">IF(  A488&gt;30000,  ROUNDUP(A$488/F489,0),  0  )</f>
        <v>0</v>
      </c>
      <c r="J489" s="233" t="s">
        <v>71</v>
      </c>
      <c r="K489" s="269" t="n">
        <v>1</v>
      </c>
      <c r="L489" s="129" t="n">
        <f aca="false">ROUNDUP(H489*I489*K489,0)</f>
        <v>0</v>
      </c>
      <c r="M489" s="135" t="n">
        <f aca="false">P489</f>
        <v>4701</v>
      </c>
      <c r="N489" s="136" t="n">
        <f aca="false">ROUND(L489*M489,2)</f>
        <v>0</v>
      </c>
      <c r="O489" s="137" t="n">
        <v>0</v>
      </c>
      <c r="P489" s="135" t="n">
        <f aca="false">IF(D489="","",VLOOKUP(D489,matriz_codigo_prezos,6,FALSE()))</f>
        <v>4701</v>
      </c>
      <c r="Q489" s="138" t="n">
        <f aca="false">IF(O489="","",ROUND(O489*P489,2))</f>
        <v>0</v>
      </c>
      <c r="R489" s="203" t="s">
        <v>354</v>
      </c>
      <c r="S489" s="198"/>
    </row>
    <row r="490" customFormat="false" ht="13.8" hidden="false" customHeight="false" outlineLevel="0" collapsed="false">
      <c r="A490" s="128"/>
      <c r="B490" s="128"/>
      <c r="C490" s="36"/>
      <c r="D490" s="139" t="s">
        <v>355</v>
      </c>
      <c r="E490" s="130" t="str">
        <f aca="false">IF(D490="","",VLOOKUP(D490,matriz_codigo_prezos,2,FALSE()))</f>
        <v>Km. de medida de retrorreflexión con equipo de alto rendemento (ECODYN)</v>
      </c>
      <c r="F490" s="131" t="n">
        <v>1000</v>
      </c>
      <c r="G490" s="129" t="s">
        <v>344</v>
      </c>
      <c r="H490" s="132" t="n">
        <v>1</v>
      </c>
      <c r="I490" s="232" t="n">
        <f aca="false">IF(   A488&gt;30000,   ROUNDUP(A488/F490,0),   0   )</f>
        <v>0</v>
      </c>
      <c r="J490" s="233" t="s">
        <v>71</v>
      </c>
      <c r="K490" s="134" t="n">
        <v>1</v>
      </c>
      <c r="L490" s="129" t="n">
        <f aca="false">ROUNDUP(H490*I490*K490,0)</f>
        <v>0</v>
      </c>
      <c r="M490" s="135" t="n">
        <f aca="false">P490</f>
        <v>23</v>
      </c>
      <c r="N490" s="136" t="n">
        <f aca="false">ROUND(L490*M490,2)</f>
        <v>0</v>
      </c>
      <c r="O490" s="137" t="n">
        <v>0</v>
      </c>
      <c r="P490" s="135" t="n">
        <f aca="false">IF(D490="","",VLOOKUP(D490,matriz_codigo_prezos,6,FALSE()))</f>
        <v>23</v>
      </c>
      <c r="Q490" s="138" t="n">
        <f aca="false">IF(O490="","",ROUND(O490*P490,2))</f>
        <v>0</v>
      </c>
      <c r="R490" s="203" t="s">
        <v>356</v>
      </c>
      <c r="S490" s="198"/>
    </row>
    <row r="491" customFormat="false" ht="58.95" hidden="false" customHeight="false" outlineLevel="0" collapsed="false">
      <c r="A491" s="128"/>
      <c r="B491" s="128"/>
      <c r="C491" s="36"/>
      <c r="D491" s="139" t="s">
        <v>357</v>
      </c>
      <c r="E491" s="130" t="str">
        <f aca="false">IF(D491="","",VLOOKUP(D491,matriz_codigo_prezos,2,FALSE()))</f>
        <v>Xornada para determinacións puntuais do coeficiente de luminancia (β ou Qd) e retrorreflexión RL en marcas viarias horizontais. UNE EN 1436 ou equivalente. Non inclúe sinalización.</v>
      </c>
      <c r="F491" s="131" t="n">
        <v>32</v>
      </c>
      <c r="G491" s="257" t="s">
        <v>286</v>
      </c>
      <c r="H491" s="234" t="n">
        <v>1</v>
      </c>
      <c r="I491" s="232" t="n">
        <f aca="false">IF(      AND( A488&lt;=30000, A488&gt;0 ),IF(  ($A$488/5000)&gt;3,  ROUNDUP(ROUND($A$488/5000,0)/$F$491,0),  ROUNDUP(3/$F$491,0)),      0      )</f>
        <v>0</v>
      </c>
      <c r="J491" s="233" t="s">
        <v>71</v>
      </c>
      <c r="K491" s="134" t="n">
        <v>1</v>
      </c>
      <c r="L491" s="129" t="n">
        <f aca="false">ROUNDUP(H491*I491*K491,0)</f>
        <v>0</v>
      </c>
      <c r="M491" s="135" t="n">
        <f aca="false">P491</f>
        <v>805</v>
      </c>
      <c r="N491" s="136" t="n">
        <f aca="false">ROUND(L491*M491,2)</f>
        <v>0</v>
      </c>
      <c r="O491" s="137" t="n">
        <v>0</v>
      </c>
      <c r="P491" s="135" t="n">
        <f aca="false">IF(D491="","",VLOOKUP(D491,matriz_codigo_prezos,6,FALSE()))</f>
        <v>805</v>
      </c>
      <c r="Q491" s="138" t="n">
        <f aca="false">IF(O491="","",ROUND(O491*P491,2))</f>
        <v>0</v>
      </c>
      <c r="R491" s="258" t="s">
        <v>358</v>
      </c>
      <c r="S491" s="259"/>
    </row>
    <row r="492" customFormat="false" ht="13.8" hidden="false" customHeight="false" outlineLevel="0" collapsed="false">
      <c r="C492" s="73"/>
      <c r="D492" s="139"/>
      <c r="E492" s="130" t="str">
        <f aca="false">IF(D492="","",VLOOKUP(D492,matriz_codigo_prezos,2,FALSE()))</f>
        <v/>
      </c>
      <c r="F492" s="25"/>
      <c r="G492" s="121"/>
      <c r="H492" s="121"/>
      <c r="I492" s="232"/>
      <c r="J492" s="236"/>
      <c r="K492" s="159"/>
      <c r="L492" s="129"/>
      <c r="M492" s="135"/>
      <c r="N492" s="136"/>
      <c r="O492" s="137"/>
      <c r="P492" s="135"/>
      <c r="Q492" s="138"/>
      <c r="R492" s="199"/>
      <c r="S492" s="198"/>
    </row>
    <row r="493" s="174" customFormat="true" ht="17.35" hidden="false" customHeight="false" outlineLevel="0" collapsed="false">
      <c r="A493" s="76" t="s">
        <v>359</v>
      </c>
      <c r="B493" s="76"/>
      <c r="C493" s="76"/>
      <c r="D493" s="76"/>
      <c r="E493" s="170" t="str">
        <f aca="false">IF(D493="","",VLOOKUP(D493,matriz_codigo_prezos,2,FALSE()))</f>
        <v/>
      </c>
      <c r="F493" s="76"/>
      <c r="G493" s="171"/>
      <c r="H493" s="171"/>
      <c r="I493" s="171"/>
      <c r="J493" s="171"/>
      <c r="K493" s="171"/>
      <c r="L493" s="171"/>
      <c r="M493" s="171"/>
      <c r="N493" s="171"/>
      <c r="O493" s="171"/>
      <c r="P493" s="171"/>
      <c r="Q493" s="171"/>
      <c r="R493" s="172"/>
      <c r="S493" s="173"/>
      <c r="U493" s="175"/>
    </row>
    <row r="494" s="193" customFormat="true" ht="15" hidden="false" customHeight="false" outlineLevel="0" collapsed="false">
      <c r="A494" s="82" t="s">
        <v>360</v>
      </c>
      <c r="B494" s="82"/>
      <c r="C494" s="82"/>
      <c r="D494" s="82"/>
      <c r="E494" s="83" t="str">
        <f aca="false">IF(D494="","",VLOOKUP(D494,matriz_codigo_prezos,2,FALSE()))</f>
        <v/>
      </c>
      <c r="F494" s="82"/>
      <c r="G494" s="84"/>
      <c r="H494" s="84"/>
      <c r="I494" s="84"/>
      <c r="J494" s="84"/>
      <c r="K494" s="84"/>
      <c r="L494" s="84"/>
      <c r="M494" s="84"/>
      <c r="N494" s="84"/>
      <c r="O494" s="84"/>
      <c r="P494" s="84"/>
      <c r="Q494" s="84"/>
      <c r="R494" s="190"/>
      <c r="S494" s="192"/>
      <c r="U494" s="188"/>
    </row>
    <row r="495" customFormat="false" ht="42.5" hidden="false" customHeight="false" outlineLevel="0" collapsed="false">
      <c r="A495" s="115"/>
      <c r="B495" s="116" t="s">
        <v>54</v>
      </c>
      <c r="C495" s="148" t="s">
        <v>361</v>
      </c>
      <c r="D495" s="118"/>
      <c r="E495" s="119"/>
      <c r="F495" s="244"/>
      <c r="G495" s="129"/>
      <c r="H495" s="157"/>
      <c r="I495" s="133"/>
      <c r="J495" s="167"/>
      <c r="K495" s="143"/>
      <c r="L495" s="129"/>
      <c r="M495" s="135"/>
      <c r="N495" s="141"/>
      <c r="O495" s="137"/>
      <c r="P495" s="135"/>
      <c r="Q495" s="136"/>
      <c r="R495" s="197"/>
      <c r="S495" s="198"/>
    </row>
    <row r="496" customFormat="false" ht="26.1" hidden="false" customHeight="false" outlineLevel="0" collapsed="false">
      <c r="A496" s="128"/>
      <c r="B496" s="128"/>
      <c r="C496" s="36"/>
      <c r="D496" s="139" t="s">
        <v>362</v>
      </c>
      <c r="E496" s="130" t="str">
        <f aca="false">IF(D496="","",VLOOKUP(D496,matriz_codigo_prezos,2,FALSE()))</f>
        <v>Toma de mostra de formigón fresco, medida de Cono, fabricación de 5 probetas cilíndricas de 15x30cm, curado, refrentado e rotura a compresión a 7, 28 e 90 días UNE EN 12390-2, 12390-3, 12350-2 ou equivalente</v>
      </c>
      <c r="F496" s="256" t="n">
        <v>100</v>
      </c>
      <c r="G496" s="129" t="s">
        <v>363</v>
      </c>
      <c r="H496" s="157" t="n">
        <v>2</v>
      </c>
      <c r="I496" s="232" t="n">
        <f aca="false">IF(  A495&gt;0,  MAX( 3, ROUNDUP(A495/F496,0) ),  0*A495  )</f>
        <v>0</v>
      </c>
      <c r="J496" s="233" t="s">
        <v>71</v>
      </c>
      <c r="K496" s="134" t="n">
        <f aca="false">$N$6</f>
        <v>0.3</v>
      </c>
      <c r="L496" s="129" t="n">
        <f aca="false">ROUNDUP(H496*I496*K496,0)</f>
        <v>0</v>
      </c>
      <c r="M496" s="135" t="n">
        <f aca="false">P496</f>
        <v>105</v>
      </c>
      <c r="N496" s="136" t="n">
        <f aca="false">ROUND(L496*M496,2)</f>
        <v>0</v>
      </c>
      <c r="O496" s="137" t="n">
        <f aca="false">INT(I496*H496)</f>
        <v>0</v>
      </c>
      <c r="P496" s="135" t="n">
        <f aca="false">IF(D496="","",VLOOKUP(D496,matriz_codigo_prezos,6,FALSE()))</f>
        <v>105</v>
      </c>
      <c r="Q496" s="138" t="n">
        <f aca="false">IF(O496="","",ROUND(O496*P496,2))</f>
        <v>0</v>
      </c>
      <c r="R496" s="203" t="s">
        <v>364</v>
      </c>
      <c r="S496" s="198"/>
    </row>
    <row r="497" customFormat="false" ht="13.8" hidden="false" customHeight="false" outlineLevel="0" collapsed="false">
      <c r="C497" s="73"/>
      <c r="D497" s="139"/>
      <c r="E497" s="130" t="str">
        <f aca="false">IF(D497="","",VLOOKUP(D497,matriz_codigo_prezos,2,FALSE()))</f>
        <v/>
      </c>
      <c r="F497" s="25"/>
      <c r="G497" s="121"/>
      <c r="H497" s="121"/>
      <c r="I497" s="232"/>
      <c r="J497" s="236"/>
      <c r="K497" s="159"/>
      <c r="L497" s="129"/>
      <c r="M497" s="135"/>
      <c r="N497" s="136"/>
      <c r="O497" s="137"/>
      <c r="P497" s="135"/>
      <c r="Q497" s="138"/>
      <c r="R497" s="199"/>
      <c r="S497" s="198"/>
    </row>
    <row r="498" s="36" customFormat="true" ht="42.5" hidden="false" customHeight="false" outlineLevel="0" collapsed="false">
      <c r="A498" s="115"/>
      <c r="B498" s="116" t="s">
        <v>54</v>
      </c>
      <c r="C498" s="148" t="s">
        <v>365</v>
      </c>
      <c r="D498" s="118"/>
      <c r="E498" s="119"/>
      <c r="F498" s="244"/>
      <c r="G498" s="129"/>
      <c r="H498" s="157"/>
      <c r="I498" s="133"/>
      <c r="J498" s="133"/>
      <c r="K498" s="143"/>
      <c r="L498" s="129"/>
      <c r="M498" s="135"/>
      <c r="N498" s="136"/>
      <c r="O498" s="137"/>
      <c r="P498" s="135"/>
      <c r="Q498" s="136"/>
      <c r="R498" s="270"/>
      <c r="S498" s="222"/>
      <c r="U498" s="152"/>
    </row>
    <row r="499" customFormat="false" ht="26.1" hidden="false" customHeight="false" outlineLevel="0" collapsed="false">
      <c r="A499" s="128"/>
      <c r="B499" s="128"/>
      <c r="C499" s="36"/>
      <c r="D499" s="139" t="s">
        <v>362</v>
      </c>
      <c r="E499" s="130" t="str">
        <f aca="false">IF(D499="","",VLOOKUP(D499,matriz_codigo_prezos,2,FALSE()))</f>
        <v>Toma de mostra de formigón fresco, medida de Cono, fabricación de 5 probetas cilíndricas de 15x30cm, curado, refrentado e rotura a compresión a 7, 28 e 90 días UNE EN 12390-2, 12390-3, 12350-2 ou equivalente</v>
      </c>
      <c r="F499" s="256" t="n">
        <v>100</v>
      </c>
      <c r="G499" s="129" t="s">
        <v>363</v>
      </c>
      <c r="H499" s="157" t="n">
        <v>3</v>
      </c>
      <c r="I499" s="232" t="n">
        <f aca="false">IF(  A498&gt;0,  MAX( 3, ROUNDUP(A498/F499,0) ),  0*A498  )</f>
        <v>0</v>
      </c>
      <c r="J499" s="233" t="s">
        <v>71</v>
      </c>
      <c r="K499" s="134" t="n">
        <f aca="false">$N$6</f>
        <v>0.3</v>
      </c>
      <c r="L499" s="129" t="n">
        <f aca="false">ROUNDUP(H499*I499*K499,0)</f>
        <v>0</v>
      </c>
      <c r="M499" s="135" t="n">
        <f aca="false">P499</f>
        <v>105</v>
      </c>
      <c r="N499" s="136" t="n">
        <f aca="false">ROUND(L499*M499,2)</f>
        <v>0</v>
      </c>
      <c r="O499" s="137" t="n">
        <f aca="false">INT(I499*H499)</f>
        <v>0</v>
      </c>
      <c r="P499" s="135" t="n">
        <f aca="false">IF(D499="","",VLOOKUP(D499,matriz_codigo_prezos,6,FALSE()))</f>
        <v>105</v>
      </c>
      <c r="Q499" s="138" t="n">
        <f aca="false">IF(O499="","",ROUND(O499*P499,2))</f>
        <v>0</v>
      </c>
      <c r="R499" s="203" t="s">
        <v>364</v>
      </c>
      <c r="S499" s="198"/>
    </row>
    <row r="500" customFormat="false" ht="13.8" hidden="false" customHeight="false" outlineLevel="0" collapsed="false">
      <c r="C500" s="73"/>
      <c r="D500" s="139"/>
      <c r="E500" s="130" t="str">
        <f aca="false">IF(D500="","",VLOOKUP(D500,matriz_codigo_prezos,2,FALSE()))</f>
        <v/>
      </c>
      <c r="F500" s="25"/>
      <c r="G500" s="121"/>
      <c r="H500" s="121"/>
      <c r="I500" s="232"/>
      <c r="J500" s="236"/>
      <c r="K500" s="159"/>
      <c r="L500" s="129"/>
      <c r="M500" s="135"/>
      <c r="N500" s="136"/>
      <c r="O500" s="137"/>
      <c r="P500" s="135"/>
      <c r="Q500" s="138"/>
      <c r="R500" s="199"/>
      <c r="S500" s="198"/>
    </row>
    <row r="501" s="36" customFormat="true" ht="42.5" hidden="false" customHeight="false" outlineLevel="0" collapsed="false">
      <c r="A501" s="115"/>
      <c r="B501" s="116" t="s">
        <v>54</v>
      </c>
      <c r="C501" s="148" t="s">
        <v>366</v>
      </c>
      <c r="D501" s="118"/>
      <c r="E501" s="119"/>
      <c r="F501" s="244"/>
      <c r="G501" s="129"/>
      <c r="H501" s="157"/>
      <c r="I501" s="133"/>
      <c r="J501" s="133"/>
      <c r="K501" s="143"/>
      <c r="L501" s="129"/>
      <c r="M501" s="135"/>
      <c r="N501" s="136"/>
      <c r="O501" s="137"/>
      <c r="P501" s="135"/>
      <c r="Q501" s="136"/>
      <c r="R501" s="270"/>
      <c r="S501" s="222"/>
      <c r="U501" s="152"/>
    </row>
    <row r="502" customFormat="false" ht="26.1" hidden="false" customHeight="false" outlineLevel="0" collapsed="false">
      <c r="A502" s="128"/>
      <c r="B502" s="128"/>
      <c r="C502" s="36"/>
      <c r="D502" s="139" t="s">
        <v>362</v>
      </c>
      <c r="E502" s="130" t="str">
        <f aca="false">IF(D502="","",VLOOKUP(D502,matriz_codigo_prezos,2,FALSE()))</f>
        <v>Toma de mostra de formigón fresco, medida de Cono, fabricación de 5 probetas cilíndricas de 15x30cm, curado, refrentado e rotura a compresión a 7, 28 e 90 días UNE EN 12390-2, 12390-3, 12350-2 ou equivalente</v>
      </c>
      <c r="F502" s="256" t="n">
        <v>100</v>
      </c>
      <c r="G502" s="129" t="s">
        <v>363</v>
      </c>
      <c r="H502" s="157" t="n">
        <v>3</v>
      </c>
      <c r="I502" s="232" t="n">
        <f aca="false">IF(  A501&gt;0,  MAX( 3, ROUNDUP(A501/F502,0) ),  0*A501  )</f>
        <v>0</v>
      </c>
      <c r="J502" s="233" t="s">
        <v>71</v>
      </c>
      <c r="K502" s="134" t="n">
        <f aca="false">$N$6</f>
        <v>0.3</v>
      </c>
      <c r="L502" s="129" t="n">
        <f aca="false">ROUNDUP(H502*I502*K502,0)</f>
        <v>0</v>
      </c>
      <c r="M502" s="135" t="n">
        <f aca="false">P502</f>
        <v>105</v>
      </c>
      <c r="N502" s="136" t="n">
        <f aca="false">ROUND(L502*M502,2)</f>
        <v>0</v>
      </c>
      <c r="O502" s="137" t="n">
        <f aca="false">INT(I502*H502)</f>
        <v>0</v>
      </c>
      <c r="P502" s="135" t="n">
        <f aca="false">IF(D502="","",VLOOKUP(D502,matriz_codigo_prezos,6,FALSE()))</f>
        <v>105</v>
      </c>
      <c r="Q502" s="138" t="n">
        <f aca="false">IF(O502="","",ROUND(O502*P502,2))</f>
        <v>0</v>
      </c>
      <c r="R502" s="203" t="s">
        <v>364</v>
      </c>
      <c r="S502" s="198"/>
    </row>
    <row r="503" customFormat="false" ht="13.8" hidden="false" customHeight="false" outlineLevel="0" collapsed="false">
      <c r="C503" s="73"/>
      <c r="D503" s="139"/>
      <c r="E503" s="130" t="str">
        <f aca="false">IF(D503="","",VLOOKUP(D503,matriz_codigo_prezos,2,FALSE()))</f>
        <v/>
      </c>
      <c r="F503" s="25"/>
      <c r="G503" s="121"/>
      <c r="H503" s="121"/>
      <c r="I503" s="232"/>
      <c r="J503" s="236"/>
      <c r="K503" s="159"/>
      <c r="L503" s="129"/>
      <c r="M503" s="135"/>
      <c r="N503" s="136"/>
      <c r="O503" s="137"/>
      <c r="P503" s="135"/>
      <c r="Q503" s="138"/>
      <c r="R503" s="199"/>
      <c r="S503" s="198"/>
    </row>
    <row r="504" s="36" customFormat="true" ht="42.5" hidden="false" customHeight="false" outlineLevel="0" collapsed="false">
      <c r="A504" s="115"/>
      <c r="B504" s="116" t="s">
        <v>54</v>
      </c>
      <c r="C504" s="148" t="s">
        <v>367</v>
      </c>
      <c r="D504" s="118"/>
      <c r="E504" s="119"/>
      <c r="F504" s="244"/>
      <c r="G504" s="129"/>
      <c r="H504" s="157"/>
      <c r="I504" s="133"/>
      <c r="J504" s="133"/>
      <c r="K504" s="143"/>
      <c r="L504" s="129"/>
      <c r="M504" s="135"/>
      <c r="N504" s="136"/>
      <c r="O504" s="137"/>
      <c r="P504" s="135"/>
      <c r="Q504" s="136"/>
      <c r="R504" s="270"/>
      <c r="S504" s="222"/>
      <c r="U504" s="152"/>
    </row>
    <row r="505" customFormat="false" ht="26.1" hidden="false" customHeight="false" outlineLevel="0" collapsed="false">
      <c r="A505" s="128"/>
      <c r="B505" s="128"/>
      <c r="C505" s="36"/>
      <c r="D505" s="139" t="s">
        <v>362</v>
      </c>
      <c r="E505" s="130" t="str">
        <f aca="false">IF(D505="","",VLOOKUP(D505,matriz_codigo_prezos,2,FALSE()))</f>
        <v>Toma de mostra de formigón fresco, medida de Cono, fabricación de 5 probetas cilíndricas de 15x30cm, curado, refrentado e rotura a compresión a 7, 28 e 90 días UNE EN 12390-2, 12390-3, 12350-2 ou equivalente</v>
      </c>
      <c r="F505" s="256" t="n">
        <v>100</v>
      </c>
      <c r="G505" s="129" t="s">
        <v>363</v>
      </c>
      <c r="H505" s="157" t="n">
        <v>4</v>
      </c>
      <c r="I505" s="232" t="n">
        <f aca="false">IF(  A504&gt;0,  MAX( 3, ROUNDUP(A504/F505,0) ),  0*A504  )</f>
        <v>0</v>
      </c>
      <c r="J505" s="233" t="s">
        <v>71</v>
      </c>
      <c r="K505" s="134" t="n">
        <f aca="false">$N$6</f>
        <v>0.3</v>
      </c>
      <c r="L505" s="129" t="n">
        <f aca="false">ROUNDUP(H505*I505*K505,0)</f>
        <v>0</v>
      </c>
      <c r="M505" s="135" t="n">
        <f aca="false">P505</f>
        <v>105</v>
      </c>
      <c r="N505" s="136" t="n">
        <f aca="false">ROUND(L505*M505,2)</f>
        <v>0</v>
      </c>
      <c r="O505" s="137" t="n">
        <f aca="false">INT(I505*H505)</f>
        <v>0</v>
      </c>
      <c r="P505" s="135" t="n">
        <f aca="false">IF(D505="","",VLOOKUP(D505,matriz_codigo_prezos,6,FALSE()))</f>
        <v>105</v>
      </c>
      <c r="Q505" s="138" t="n">
        <f aca="false">IF(O505="","",ROUND(O505*P505,2))</f>
        <v>0</v>
      </c>
      <c r="R505" s="203" t="s">
        <v>364</v>
      </c>
      <c r="S505" s="198"/>
    </row>
    <row r="506" customFormat="false" ht="13.8" hidden="false" customHeight="false" outlineLevel="0" collapsed="false">
      <c r="C506" s="73"/>
      <c r="D506" s="139"/>
      <c r="E506" s="130" t="str">
        <f aca="false">IF(D506="","",VLOOKUP(D506,matriz_codigo_prezos,2,FALSE()))</f>
        <v/>
      </c>
      <c r="F506" s="25"/>
      <c r="G506" s="121"/>
      <c r="H506" s="121"/>
      <c r="I506" s="232"/>
      <c r="J506" s="236"/>
      <c r="K506" s="159"/>
      <c r="L506" s="129"/>
      <c r="M506" s="135"/>
      <c r="N506" s="136"/>
      <c r="O506" s="137"/>
      <c r="P506" s="135"/>
      <c r="Q506" s="138"/>
      <c r="R506" s="199"/>
      <c r="S506" s="198"/>
    </row>
    <row r="507" s="36" customFormat="true" ht="42.5" hidden="false" customHeight="false" outlineLevel="0" collapsed="false">
      <c r="A507" s="115"/>
      <c r="B507" s="116" t="s">
        <v>54</v>
      </c>
      <c r="C507" s="148" t="s">
        <v>368</v>
      </c>
      <c r="D507" s="118"/>
      <c r="E507" s="119"/>
      <c r="F507" s="244"/>
      <c r="G507" s="129"/>
      <c r="H507" s="157"/>
      <c r="I507" s="133"/>
      <c r="J507" s="133"/>
      <c r="K507" s="143"/>
      <c r="L507" s="129"/>
      <c r="M507" s="135"/>
      <c r="N507" s="136"/>
      <c r="O507" s="137"/>
      <c r="P507" s="135"/>
      <c r="Q507" s="136"/>
      <c r="R507" s="270"/>
      <c r="S507" s="222"/>
      <c r="U507" s="152"/>
    </row>
    <row r="508" customFormat="false" ht="26.1" hidden="false" customHeight="false" outlineLevel="0" collapsed="false">
      <c r="A508" s="128"/>
      <c r="B508" s="128"/>
      <c r="C508" s="36"/>
      <c r="D508" s="139" t="s">
        <v>362</v>
      </c>
      <c r="E508" s="130" t="str">
        <f aca="false">IF(D508="","",VLOOKUP(D508,matriz_codigo_prezos,2,FALSE()))</f>
        <v>Toma de mostra de formigón fresco, medida de Cono, fabricación de 5 probetas cilíndricas de 15x30cm, curado, refrentado e rotura a compresión a 7, 28 e 90 días UNE EN 12390-2, 12390-3, 12350-2 ou equivalente</v>
      </c>
      <c r="F508" s="256" t="n">
        <v>100</v>
      </c>
      <c r="G508" s="129" t="s">
        <v>363</v>
      </c>
      <c r="H508" s="157" t="n">
        <v>4</v>
      </c>
      <c r="I508" s="232" t="n">
        <f aca="false">IF(  A507&gt;0,  MAX( 3, ROUNDUP(A507/F508,0) ),  0*A507  )</f>
        <v>0</v>
      </c>
      <c r="J508" s="233" t="s">
        <v>71</v>
      </c>
      <c r="K508" s="134" t="n">
        <f aca="false">$N$6</f>
        <v>0.3</v>
      </c>
      <c r="L508" s="129" t="n">
        <f aca="false">ROUNDUP(H508*I508*K508,0)</f>
        <v>0</v>
      </c>
      <c r="M508" s="135" t="n">
        <f aca="false">P508</f>
        <v>105</v>
      </c>
      <c r="N508" s="136" t="n">
        <f aca="false">ROUND(L508*M508,2)</f>
        <v>0</v>
      </c>
      <c r="O508" s="137" t="n">
        <f aca="false">INT(I508*H508)</f>
        <v>0</v>
      </c>
      <c r="P508" s="135" t="n">
        <f aca="false">IF(D508="","",VLOOKUP(D508,matriz_codigo_prezos,6,FALSE()))</f>
        <v>105</v>
      </c>
      <c r="Q508" s="138" t="n">
        <f aca="false">IF(O508="","",ROUND(O508*P508,2))</f>
        <v>0</v>
      </c>
      <c r="R508" s="203" t="s">
        <v>364</v>
      </c>
      <c r="S508" s="198"/>
    </row>
    <row r="509" customFormat="false" ht="13.8" hidden="false" customHeight="false" outlineLevel="0" collapsed="false">
      <c r="A509" s="128"/>
      <c r="B509" s="128"/>
      <c r="C509" s="36"/>
      <c r="D509" s="139"/>
      <c r="E509" s="130"/>
      <c r="F509" s="256"/>
      <c r="G509" s="129"/>
      <c r="H509" s="157"/>
      <c r="I509" s="232"/>
      <c r="J509" s="236"/>
      <c r="K509" s="134"/>
      <c r="L509" s="129"/>
      <c r="M509" s="135"/>
      <c r="N509" s="136"/>
      <c r="O509" s="137"/>
      <c r="P509" s="135"/>
      <c r="Q509" s="138"/>
      <c r="R509" s="224"/>
      <c r="S509" s="198"/>
    </row>
    <row r="510" customFormat="false" ht="13.8" hidden="false" customHeight="false" outlineLevel="0" collapsed="false">
      <c r="A510" s="101" t="s">
        <v>369</v>
      </c>
      <c r="B510" s="101"/>
      <c r="C510" s="101"/>
      <c r="D510" s="101"/>
      <c r="E510" s="102" t="str">
        <f aca="false">IF(D510="","",VLOOKUP(D510,matriz_codigo_prezos,2,FALSE()))</f>
        <v/>
      </c>
      <c r="F510" s="101"/>
      <c r="G510" s="103"/>
      <c r="H510" s="103"/>
      <c r="I510" s="103"/>
      <c r="J510" s="103"/>
      <c r="K510" s="103"/>
      <c r="L510" s="103"/>
      <c r="M510" s="103"/>
      <c r="N510" s="103"/>
      <c r="O510" s="103"/>
      <c r="P510" s="103"/>
      <c r="Q510" s="103"/>
      <c r="R510" s="191"/>
      <c r="S510" s="198"/>
    </row>
    <row r="511" customFormat="false" ht="13.8" hidden="false" customHeight="false" outlineLevel="0" collapsed="false">
      <c r="A511" s="115"/>
      <c r="B511" s="116" t="s">
        <v>54</v>
      </c>
      <c r="C511" s="271" t="s">
        <v>370</v>
      </c>
      <c r="D511" s="139"/>
      <c r="E511" s="130"/>
      <c r="F511" s="244"/>
      <c r="G511" s="129"/>
      <c r="H511" s="157"/>
      <c r="I511" s="133"/>
      <c r="J511" s="167"/>
      <c r="K511" s="143"/>
      <c r="L511" s="129"/>
      <c r="M511" s="135"/>
      <c r="N511" s="141"/>
      <c r="O511" s="137"/>
      <c r="P511" s="135"/>
      <c r="Q511" s="136"/>
      <c r="R511" s="270"/>
      <c r="S511" s="198"/>
    </row>
    <row r="512" customFormat="false" ht="42.5" hidden="false" customHeight="false" outlineLevel="0" collapsed="false">
      <c r="A512" s="128"/>
      <c r="B512" s="128"/>
      <c r="C512" s="36"/>
      <c r="D512" s="129" t="s">
        <v>371</v>
      </c>
      <c r="E512" s="130" t="str">
        <f aca="false">IF(D512="","",VLOOKUP(D512,matriz_codigo_prezos,2,FALSE()))</f>
        <v>Toma de mostras do formigón proxectado fresco, incluíndo fabricación de artesa de 50x50x15cm segundo UNE ou equivalente, curado en condicións especificadas, extracción de 12 testemuñas de D=6cm x15cm de altura para rotura 3 a 3días, 3 a 7 días, 3 a 28días e 3 a 90 días. UNE 83 602, 83 605, UNE 14488-5 ou equivalente</v>
      </c>
      <c r="F512" s="272" t="n">
        <v>100</v>
      </c>
      <c r="G512" s="273" t="s">
        <v>54</v>
      </c>
      <c r="H512" s="157" t="n">
        <v>1</v>
      </c>
      <c r="I512" s="232" t="n">
        <f aca="false">ROUNDUP(A$511/F512,0)</f>
        <v>0</v>
      </c>
      <c r="J512" s="233" t="s">
        <v>71</v>
      </c>
      <c r="K512" s="134" t="n">
        <f aca="false">$N$6</f>
        <v>0.3</v>
      </c>
      <c r="L512" s="129" t="n">
        <f aca="false">ROUNDUP(H512*I512*K512,0)</f>
        <v>0</v>
      </c>
      <c r="M512" s="135" t="n">
        <f aca="false">P512</f>
        <v>350</v>
      </c>
      <c r="N512" s="136" t="n">
        <f aca="false">ROUND(L512*M512,2)</f>
        <v>0</v>
      </c>
      <c r="O512" s="137" t="n">
        <f aca="false">INT(I512*H512)</f>
        <v>0</v>
      </c>
      <c r="P512" s="135" t="n">
        <f aca="false">IF(D512="","",VLOOKUP(D512,matriz_codigo_prezos,6,FALSE()))</f>
        <v>350</v>
      </c>
      <c r="Q512" s="138" t="n">
        <f aca="false">IF(O512="","",ROUND(O512*P512,2))</f>
        <v>0</v>
      </c>
      <c r="R512" s="224"/>
      <c r="S512" s="198"/>
    </row>
    <row r="513" customFormat="false" ht="17.9" hidden="false" customHeight="false" outlineLevel="0" collapsed="false">
      <c r="C513" s="36"/>
      <c r="D513" s="139" t="s">
        <v>372</v>
      </c>
      <c r="E513" s="130" t="str">
        <f aca="false">IF(D513="","",VLOOKUP(D513,matriz_codigo_prezos,2,FALSE()))</f>
        <v>Determinación do contido de fibras de aceiro nunha amasada de formigón fresco ou endurecido UNE EN 14488-7 ou equivalente</v>
      </c>
      <c r="F513" s="25" t="n">
        <v>200</v>
      </c>
      <c r="G513" s="273" t="s">
        <v>54</v>
      </c>
      <c r="H513" s="121" t="n">
        <v>1</v>
      </c>
      <c r="I513" s="232" t="n">
        <f aca="false">ROUNDUP(A$511/F513,0)</f>
        <v>0</v>
      </c>
      <c r="J513" s="233" t="s">
        <v>71</v>
      </c>
      <c r="K513" s="134" t="n">
        <f aca="false">$N$6</f>
        <v>0.3</v>
      </c>
      <c r="L513" s="129" t="n">
        <f aca="false">ROUNDUP(H513*I513*K513,0)</f>
        <v>0</v>
      </c>
      <c r="M513" s="135" t="n">
        <f aca="false">P513</f>
        <v>160</v>
      </c>
      <c r="N513" s="136" t="n">
        <f aca="false">ROUND(L513*M513,2)</f>
        <v>0</v>
      </c>
      <c r="O513" s="137" t="n">
        <f aca="false">INT(I513*H513)</f>
        <v>0</v>
      </c>
      <c r="P513" s="135" t="n">
        <f aca="false">IF(D513="","",VLOOKUP(D513,matriz_codigo_prezos,6,FALSE()))</f>
        <v>160</v>
      </c>
      <c r="Q513" s="138" t="n">
        <f aca="false">IF(O513="","",ROUND(O513*P513,2))</f>
        <v>0</v>
      </c>
      <c r="R513" s="224"/>
      <c r="S513" s="198"/>
    </row>
    <row r="514" customFormat="false" ht="13.8" hidden="false" customHeight="false" outlineLevel="0" collapsed="false">
      <c r="A514" s="128"/>
      <c r="B514" s="128"/>
      <c r="C514" s="36"/>
      <c r="D514" s="139"/>
      <c r="E514" s="130"/>
      <c r="F514" s="256"/>
      <c r="G514" s="129"/>
      <c r="H514" s="157"/>
      <c r="I514" s="232"/>
      <c r="J514" s="236"/>
      <c r="K514" s="134"/>
      <c r="L514" s="129"/>
      <c r="M514" s="135"/>
      <c r="N514" s="136"/>
      <c r="O514" s="137"/>
      <c r="P514" s="135"/>
      <c r="Q514" s="138"/>
      <c r="R514" s="224"/>
      <c r="S514" s="198"/>
    </row>
    <row r="515" customFormat="false" ht="13.8" hidden="false" customHeight="false" outlineLevel="0" collapsed="false">
      <c r="C515" s="73"/>
      <c r="D515" s="139"/>
      <c r="E515" s="130" t="str">
        <f aca="false">IF(D515="","",VLOOKUP(D515,matriz_codigo_prezos,2,FALSE()))</f>
        <v/>
      </c>
      <c r="F515" s="25"/>
      <c r="G515" s="121"/>
      <c r="H515" s="121"/>
      <c r="I515" s="232"/>
      <c r="J515" s="236"/>
      <c r="K515" s="159"/>
      <c r="L515" s="129"/>
      <c r="M515" s="135"/>
      <c r="N515" s="136"/>
      <c r="O515" s="137"/>
      <c r="P515" s="135"/>
      <c r="Q515" s="138"/>
      <c r="R515" s="199"/>
      <c r="S515" s="198"/>
    </row>
    <row r="516" customFormat="false" ht="15" hidden="false" customHeight="false" outlineLevel="0" collapsed="false">
      <c r="A516" s="82" t="s">
        <v>373</v>
      </c>
      <c r="B516" s="82"/>
      <c r="C516" s="82"/>
      <c r="D516" s="82"/>
      <c r="E516" s="83"/>
      <c r="F516" s="82"/>
      <c r="G516" s="84"/>
      <c r="H516" s="84"/>
      <c r="I516" s="84"/>
      <c r="J516" s="84"/>
      <c r="K516" s="84"/>
      <c r="L516" s="84"/>
      <c r="M516" s="84"/>
      <c r="N516" s="84"/>
      <c r="O516" s="84"/>
      <c r="P516" s="84"/>
      <c r="Q516" s="84"/>
      <c r="R516" s="190"/>
      <c r="S516" s="198"/>
    </row>
    <row r="517" s="36" customFormat="true" ht="13.8" hidden="false" customHeight="false" outlineLevel="0" collapsed="false">
      <c r="A517" s="101" t="s">
        <v>374</v>
      </c>
      <c r="B517" s="101"/>
      <c r="C517" s="101"/>
      <c r="D517" s="101"/>
      <c r="E517" s="102" t="str">
        <f aca="false">IF(D517="","",VLOOKUP(D517,matriz_codigo_prezos,2,FALSE()))</f>
        <v/>
      </c>
      <c r="F517" s="101"/>
      <c r="G517" s="103"/>
      <c r="H517" s="103"/>
      <c r="I517" s="103"/>
      <c r="J517" s="103"/>
      <c r="K517" s="103"/>
      <c r="L517" s="103"/>
      <c r="M517" s="103"/>
      <c r="N517" s="103"/>
      <c r="O517" s="103"/>
      <c r="P517" s="103"/>
      <c r="Q517" s="103"/>
      <c r="R517" s="191"/>
      <c r="S517" s="222"/>
      <c r="U517" s="152"/>
    </row>
    <row r="518" customFormat="false" ht="13.8" hidden="false" customHeight="false" outlineLevel="0" collapsed="false">
      <c r="A518" s="200" t="s">
        <v>375</v>
      </c>
      <c r="B518" s="201"/>
      <c r="C518" s="201"/>
      <c r="D518" s="201"/>
      <c r="E518" s="202"/>
      <c r="F518" s="33"/>
      <c r="G518" s="167"/>
      <c r="H518" s="167"/>
      <c r="I518" s="167"/>
      <c r="J518" s="167"/>
      <c r="K518" s="167"/>
      <c r="L518" s="167"/>
      <c r="M518" s="167"/>
      <c r="N518" s="167"/>
      <c r="O518" s="167"/>
      <c r="P518" s="167"/>
      <c r="Q518" s="167"/>
      <c r="R518" s="197"/>
      <c r="S518" s="198"/>
    </row>
    <row r="519" customFormat="false" ht="26.1" hidden="false" customHeight="false" outlineLevel="0" collapsed="false">
      <c r="A519" s="115"/>
      <c r="B519" s="116" t="s">
        <v>376</v>
      </c>
      <c r="C519" s="148" t="s">
        <v>377</v>
      </c>
      <c r="D519" s="118"/>
      <c r="E519" s="119"/>
      <c r="F519" s="244"/>
      <c r="G519" s="129"/>
      <c r="H519" s="157"/>
      <c r="I519" s="133"/>
      <c r="J519" s="167"/>
      <c r="K519" s="143"/>
      <c r="L519" s="129"/>
      <c r="M519" s="135"/>
      <c r="N519" s="141"/>
      <c r="O519" s="137"/>
      <c r="P519" s="135"/>
      <c r="Q519" s="136"/>
      <c r="R519" s="197"/>
      <c r="S519" s="198"/>
    </row>
    <row r="520" customFormat="false" ht="26.1" hidden="false" customHeight="false" outlineLevel="0" collapsed="false">
      <c r="A520" s="115"/>
      <c r="B520" s="116" t="s">
        <v>194</v>
      </c>
      <c r="C520" s="36"/>
      <c r="D520" s="139" t="s">
        <v>378</v>
      </c>
      <c r="E520" s="130" t="str">
        <f aca="false">IF(D520="","",VLOOKUP(D520,matriz_codigo_prezos,2,FALSE()))</f>
        <v>Ensaio completo dunha mostra de aceiro para armaduras pasivas: sección media equivalente, características xeométricas, dobrado/desdobrado e tracción. UNE EN 36068 ou equivalente, UNE EN ISO 15630-1 ou equivalente</v>
      </c>
      <c r="F520" s="139" t="n">
        <v>40</v>
      </c>
      <c r="G520" s="129" t="s">
        <v>194</v>
      </c>
      <c r="H520" s="157" t="n">
        <v>2</v>
      </c>
      <c r="I520" s="133" t="n">
        <f aca="false">ROUNDUP(A520/F520,0)</f>
        <v>0</v>
      </c>
      <c r="J520" s="146" t="s">
        <v>71</v>
      </c>
      <c r="K520" s="204" t="n">
        <f aca="false">$N$6</f>
        <v>0.3</v>
      </c>
      <c r="L520" s="129" t="n">
        <f aca="false">IF(O520=0,0,ROUNDUP(O520*K520,0))</f>
        <v>0</v>
      </c>
      <c r="M520" s="135" t="n">
        <f aca="false">P520</f>
        <v>115</v>
      </c>
      <c r="N520" s="136" t="n">
        <f aca="false">ROUND(L520*M520,2)</f>
        <v>0</v>
      </c>
      <c r="O520" s="137" t="n">
        <f aca="false">INT(+I520*H520)</f>
        <v>0</v>
      </c>
      <c r="P520" s="135" t="n">
        <f aca="false">IF(D520="","",VLOOKUP(D520,matriz_codigo_prezos,6,FALSE()))</f>
        <v>115</v>
      </c>
      <c r="Q520" s="136" t="n">
        <f aca="false">IF(O520="","",ROUND(O520*P520,2))</f>
        <v>0</v>
      </c>
      <c r="R520" s="274" t="s">
        <v>379</v>
      </c>
      <c r="S520" s="198"/>
    </row>
    <row r="521" customFormat="false" ht="13.8" hidden="false" customHeight="false" outlineLevel="0" collapsed="false">
      <c r="C521" s="73"/>
      <c r="D521" s="139"/>
      <c r="E521" s="130" t="str">
        <f aca="false">IF(D521="","",VLOOKUP(D521,matriz_codigo_prezos,2,FALSE()))</f>
        <v/>
      </c>
      <c r="F521" s="25"/>
      <c r="G521" s="121"/>
      <c r="H521" s="121"/>
      <c r="I521" s="232"/>
      <c r="J521" s="236"/>
      <c r="K521" s="159"/>
      <c r="L521" s="129"/>
      <c r="M521" s="135"/>
      <c r="N521" s="136"/>
      <c r="O521" s="137"/>
      <c r="P521" s="135"/>
      <c r="Q521" s="138"/>
      <c r="R521" s="199"/>
      <c r="S521" s="198"/>
    </row>
    <row r="522" s="36" customFormat="true" ht="13.8" hidden="false" customHeight="false" outlineLevel="0" collapsed="false">
      <c r="A522" s="101" t="s">
        <v>380</v>
      </c>
      <c r="B522" s="101"/>
      <c r="C522" s="101"/>
      <c r="D522" s="101"/>
      <c r="E522" s="102" t="str">
        <f aca="false">IF(D522="","",VLOOKUP(D522,matriz_codigo_prezos,2,FALSE()))</f>
        <v/>
      </c>
      <c r="F522" s="101"/>
      <c r="G522" s="103"/>
      <c r="H522" s="103"/>
      <c r="I522" s="103"/>
      <c r="J522" s="103"/>
      <c r="K522" s="103"/>
      <c r="L522" s="103"/>
      <c r="M522" s="103"/>
      <c r="N522" s="103"/>
      <c r="O522" s="103"/>
      <c r="P522" s="103"/>
      <c r="Q522" s="103"/>
      <c r="R522" s="191"/>
      <c r="S522" s="222"/>
      <c r="U522" s="152"/>
    </row>
    <row r="523" customFormat="false" ht="13.8" hidden="false" customHeight="false" outlineLevel="0" collapsed="false">
      <c r="A523" s="200" t="s">
        <v>375</v>
      </c>
      <c r="B523" s="201"/>
      <c r="C523" s="201"/>
      <c r="D523" s="201"/>
      <c r="E523" s="202"/>
      <c r="F523" s="33"/>
      <c r="G523" s="167"/>
      <c r="H523" s="167"/>
      <c r="I523" s="167"/>
      <c r="J523" s="167"/>
      <c r="K523" s="167"/>
      <c r="L523" s="167"/>
      <c r="M523" s="167"/>
      <c r="N523" s="167"/>
      <c r="O523" s="167"/>
      <c r="P523" s="167"/>
      <c r="Q523" s="167"/>
      <c r="R523" s="197"/>
      <c r="S523" s="198"/>
    </row>
    <row r="524" customFormat="false" ht="26.1" hidden="false" customHeight="false" outlineLevel="0" collapsed="false">
      <c r="A524" s="115"/>
      <c r="B524" s="116" t="s">
        <v>376</v>
      </c>
      <c r="C524" s="148" t="s">
        <v>377</v>
      </c>
      <c r="D524" s="244"/>
      <c r="E524" s="275"/>
      <c r="F524" s="244"/>
      <c r="G524" s="129"/>
      <c r="H524" s="157"/>
      <c r="I524" s="133"/>
      <c r="J524" s="133"/>
      <c r="K524" s="143"/>
      <c r="L524" s="129"/>
      <c r="M524" s="135"/>
      <c r="N524" s="141"/>
      <c r="O524" s="137"/>
      <c r="P524" s="135"/>
      <c r="Q524" s="136"/>
      <c r="R524" s="197"/>
      <c r="S524" s="198"/>
    </row>
    <row r="525" customFormat="false" ht="26.1" hidden="false" customHeight="false" outlineLevel="0" collapsed="false">
      <c r="A525" s="115"/>
      <c r="B525" s="116" t="s">
        <v>194</v>
      </c>
      <c r="C525" s="36"/>
      <c r="D525" s="139" t="s">
        <v>381</v>
      </c>
      <c r="E525" s="130" t="str">
        <f aca="false">IF(D525="","",VLOOKUP(D525,matriz_codigo_prezos,2,FALSE()))</f>
        <v>Determinación de sección equivalente e características xeométricas dunha mostra de cordón de aceiro para armaduras de pretensado. UNE EN ISO 15630-3 ou equivalente</v>
      </c>
      <c r="F525" s="139" t="n">
        <v>40</v>
      </c>
      <c r="G525" s="129" t="s">
        <v>194</v>
      </c>
      <c r="H525" s="157" t="n">
        <v>2</v>
      </c>
      <c r="I525" s="133" t="n">
        <f aca="false">ROUNDUP(A$525/F525,0)</f>
        <v>0</v>
      </c>
      <c r="J525" s="146" t="s">
        <v>71</v>
      </c>
      <c r="K525" s="204" t="n">
        <f aca="false">$N$6</f>
        <v>0.3</v>
      </c>
      <c r="L525" s="129" t="n">
        <f aca="false">IF(O525=0,0,ROUNDUP(O525*K525,0))</f>
        <v>0</v>
      </c>
      <c r="M525" s="135" t="n">
        <f aca="false">P525</f>
        <v>30</v>
      </c>
      <c r="N525" s="136" t="n">
        <f aca="false">ROUND(L525*M525,2)</f>
        <v>0</v>
      </c>
      <c r="O525" s="137" t="n">
        <f aca="false">INT(I525*H525)</f>
        <v>0</v>
      </c>
      <c r="P525" s="135" t="n">
        <f aca="false">IF(D525="","",VLOOKUP(D525,matriz_codigo_prezos,6,FALSE()))</f>
        <v>30</v>
      </c>
      <c r="Q525" s="136" t="n">
        <f aca="false">IF(O525="","",ROUND(O525*P525,2))</f>
        <v>0</v>
      </c>
      <c r="R525" s="276" t="s">
        <v>379</v>
      </c>
      <c r="S525" s="198"/>
    </row>
    <row r="526" customFormat="false" ht="17.9" hidden="false" customHeight="false" outlineLevel="0" collapsed="false">
      <c r="C526" s="36"/>
      <c r="D526" s="139" t="s">
        <v>382</v>
      </c>
      <c r="E526" s="130" t="str">
        <f aca="false">IF(D526="","",VLOOKUP(D526,matriz_codigo_prezos,2,FALSE()))</f>
        <v>Ensaio a tracción dunha mostra de cordón de aceiro para armaduras de pretensado. UNE EN ISO 15630-3 ou equivalente</v>
      </c>
      <c r="F526" s="25" t="n">
        <v>40</v>
      </c>
      <c r="G526" s="121" t="s">
        <v>194</v>
      </c>
      <c r="H526" s="121" t="n">
        <v>2</v>
      </c>
      <c r="I526" s="232" t="n">
        <f aca="false">ROUNDUP(A$525/F526,0)</f>
        <v>0</v>
      </c>
      <c r="J526" s="233" t="s">
        <v>71</v>
      </c>
      <c r="K526" s="134" t="n">
        <f aca="false">$N$6</f>
        <v>0.3</v>
      </c>
      <c r="L526" s="129" t="n">
        <f aca="false">IF(O526=0,0,ROUNDUP(O526*K526,0))</f>
        <v>0</v>
      </c>
      <c r="M526" s="135" t="n">
        <f aca="false">P526</f>
        <v>345</v>
      </c>
      <c r="N526" s="136" t="n">
        <f aca="false">ROUND(L526*M526,2)</f>
        <v>0</v>
      </c>
      <c r="O526" s="137" t="n">
        <f aca="false">INT(I526*H526)</f>
        <v>0</v>
      </c>
      <c r="P526" s="135" t="n">
        <f aca="false">IF(D526="","",VLOOKUP(D526,matriz_codigo_prezos,6,FALSE()))</f>
        <v>345</v>
      </c>
      <c r="Q526" s="138" t="n">
        <f aca="false">IF(O526="","",ROUND(O526*P526,2))</f>
        <v>0</v>
      </c>
      <c r="R526" s="276"/>
      <c r="S526" s="198"/>
    </row>
    <row r="527" customFormat="false" ht="13.8" hidden="false" customHeight="false" outlineLevel="0" collapsed="false">
      <c r="C527" s="73"/>
      <c r="D527" s="139"/>
      <c r="E527" s="130" t="str">
        <f aca="false">IF(D527="","",VLOOKUP(D527,matriz_codigo_prezos,2,FALSE()))</f>
        <v/>
      </c>
      <c r="F527" s="25"/>
      <c r="G527" s="121"/>
      <c r="H527" s="121"/>
      <c r="I527" s="232"/>
      <c r="J527" s="236"/>
      <c r="K527" s="159"/>
      <c r="L527" s="129"/>
      <c r="M527" s="135"/>
      <c r="N527" s="136"/>
      <c r="O527" s="137"/>
      <c r="P527" s="135"/>
      <c r="Q527" s="138"/>
      <c r="R527" s="277"/>
      <c r="S527" s="198"/>
    </row>
    <row r="528" customFormat="false" ht="13.8" hidden="false" customHeight="false" outlineLevel="0" collapsed="false">
      <c r="C528" s="73"/>
      <c r="D528" s="139"/>
      <c r="E528" s="130" t="str">
        <f aca="false">IF(D528="","",VLOOKUP(D528,matriz_codigo_prezos,2,FALSE()))</f>
        <v/>
      </c>
      <c r="F528" s="25"/>
      <c r="G528" s="121"/>
      <c r="H528" s="121"/>
      <c r="I528" s="232"/>
      <c r="J528" s="236"/>
      <c r="K528" s="159"/>
      <c r="L528" s="129"/>
      <c r="M528" s="135"/>
      <c r="N528" s="136"/>
      <c r="O528" s="137"/>
      <c r="P528" s="135"/>
      <c r="Q528" s="138"/>
      <c r="R528" s="199"/>
      <c r="S528" s="198"/>
    </row>
    <row r="529" s="36" customFormat="true" ht="15" hidden="false" customHeight="false" outlineLevel="0" collapsed="false">
      <c r="A529" s="82" t="s">
        <v>383</v>
      </c>
      <c r="B529" s="82"/>
      <c r="C529" s="82"/>
      <c r="D529" s="82"/>
      <c r="E529" s="83" t="str">
        <f aca="false">IF(D529="","",VLOOKUP(D529,matriz_codigo_prezos,2,FALSE()))</f>
        <v/>
      </c>
      <c r="F529" s="82"/>
      <c r="G529" s="84"/>
      <c r="H529" s="84"/>
      <c r="I529" s="84"/>
      <c r="J529" s="84"/>
      <c r="K529" s="84"/>
      <c r="L529" s="84"/>
      <c r="M529" s="84"/>
      <c r="N529" s="84"/>
      <c r="O529" s="84"/>
      <c r="P529" s="84"/>
      <c r="Q529" s="84"/>
      <c r="R529" s="190"/>
      <c r="S529" s="222"/>
      <c r="U529" s="152"/>
    </row>
    <row r="530" customFormat="false" ht="67.15" hidden="false" customHeight="false" outlineLevel="0" collapsed="false">
      <c r="A530" s="115"/>
      <c r="B530" s="116" t="s">
        <v>384</v>
      </c>
      <c r="C530" s="148" t="s">
        <v>385</v>
      </c>
      <c r="D530" s="118"/>
      <c r="E530" s="119"/>
      <c r="F530" s="118"/>
      <c r="G530" s="120"/>
      <c r="H530" s="120"/>
      <c r="I530" s="120"/>
      <c r="J530" s="167"/>
      <c r="K530" s="143"/>
      <c r="L530" s="129"/>
      <c r="M530" s="135"/>
      <c r="N530" s="141"/>
      <c r="O530" s="137"/>
      <c r="P530" s="135"/>
      <c r="Q530" s="136"/>
      <c r="R530" s="197"/>
      <c r="S530" s="198"/>
    </row>
    <row r="531" customFormat="false" ht="13.8" hidden="false" customHeight="false" outlineLevel="0" collapsed="false">
      <c r="A531" s="115"/>
      <c r="B531" s="116" t="s">
        <v>386</v>
      </c>
      <c r="C531" s="73"/>
      <c r="D531" s="139"/>
      <c r="E531" s="130" t="str">
        <f aca="false">IF(D531="","",VLOOKUP(D531,matriz_codigo_prezos,2,FALSE()))</f>
        <v/>
      </c>
      <c r="F531" s="244"/>
      <c r="G531" s="129"/>
      <c r="H531" s="157"/>
      <c r="I531" s="133"/>
      <c r="J531" s="133"/>
      <c r="K531" s="143"/>
      <c r="L531" s="129"/>
      <c r="M531" s="135"/>
      <c r="N531" s="141"/>
      <c r="O531" s="137"/>
      <c r="P531" s="135"/>
      <c r="Q531" s="136"/>
      <c r="R531" s="197"/>
      <c r="S531" s="198"/>
    </row>
    <row r="532" customFormat="false" ht="42.5" hidden="false" customHeight="false" outlineLevel="0" collapsed="false">
      <c r="A532" s="128"/>
      <c r="B532" s="128"/>
      <c r="C532" s="36"/>
      <c r="D532" s="129" t="s">
        <v>387</v>
      </c>
      <c r="E532" s="130" t="str">
        <f aca="false">IF(D532="","",VLOOKUP(D532,matriz_codigo_prezos,2,FALSE()))</f>
        <v>Xornada de auscultación por crosshole, instrumentado con 3 tubos interiores (3 diagrafías), con desprazamento a obra de equipos e redacción de informe. Ata 5 pilotes por xornada para pilotes de L&lt;30m e 3 pilotes por xornada para pilotes de 30m &lt; L &lt; 50m. AFNOR NF P 94-160 ou ensaios equivalentes</v>
      </c>
      <c r="F532" s="272" t="n">
        <v>1</v>
      </c>
      <c r="G532" s="273" t="s">
        <v>143</v>
      </c>
      <c r="H532" s="157" t="n">
        <v>1</v>
      </c>
      <c r="I532" s="232" t="n">
        <f aca="false">IF(      AND(ISNUMBER(A530*A531), A530&gt;0, A531&gt;0),      IF(  A530/A531&lt;30,  ROUNDUP(A531/5,0),  ROUNDUP(A531/3,0)  ),      0*A530*A531      )</f>
        <v>0</v>
      </c>
      <c r="J532" s="233" t="s">
        <v>71</v>
      </c>
      <c r="K532" s="134" t="n">
        <f aca="false">$N$6</f>
        <v>0.3</v>
      </c>
      <c r="L532" s="129" t="n">
        <f aca="false">ROUNDUP(H532*I532*K532,0)</f>
        <v>0</v>
      </c>
      <c r="M532" s="135" t="n">
        <f aca="false">P532</f>
        <v>800</v>
      </c>
      <c r="N532" s="136" t="n">
        <f aca="false">ROUND(L532*M532,2)</f>
        <v>0</v>
      </c>
      <c r="O532" s="137" t="n">
        <f aca="false">INT(I532*H532)</f>
        <v>0</v>
      </c>
      <c r="P532" s="135" t="n">
        <f aca="false">IF(D532="","",VLOOKUP(D532,matriz_codigo_prezos,6,FALSE()))</f>
        <v>800</v>
      </c>
      <c r="Q532" s="138" t="n">
        <f aca="false">IF(O532="","",ROUND(O532*P532,2))</f>
        <v>0</v>
      </c>
      <c r="R532" s="203" t="s">
        <v>388</v>
      </c>
      <c r="S532" s="198"/>
    </row>
    <row r="533" customFormat="false" ht="13.8" hidden="false" customHeight="false" outlineLevel="0" collapsed="false">
      <c r="C533" s="73"/>
      <c r="D533" s="139"/>
      <c r="E533" s="130" t="str">
        <f aca="false">IF(D533="","",VLOOKUP(D533,matriz_codigo_prezos,2,FALSE()))</f>
        <v/>
      </c>
      <c r="F533" s="25"/>
      <c r="G533" s="121"/>
      <c r="H533" s="121"/>
      <c r="I533" s="232"/>
      <c r="J533" s="236"/>
      <c r="K533" s="159"/>
      <c r="L533" s="129"/>
      <c r="M533" s="135"/>
      <c r="N533" s="136"/>
      <c r="O533" s="137"/>
      <c r="P533" s="135"/>
      <c r="Q533" s="138"/>
      <c r="R533" s="199"/>
      <c r="S533" s="198"/>
    </row>
    <row r="534" s="36" customFormat="true" ht="15" hidden="false" customHeight="false" outlineLevel="0" collapsed="false">
      <c r="A534" s="82" t="s">
        <v>389</v>
      </c>
      <c r="B534" s="82"/>
      <c r="C534" s="82"/>
      <c r="D534" s="82"/>
      <c r="E534" s="83" t="str">
        <f aca="false">IF(D534="","",VLOOKUP(D534,matriz_codigo_prezos,2,FALSE()))</f>
        <v/>
      </c>
      <c r="F534" s="82"/>
      <c r="G534" s="84"/>
      <c r="H534" s="84"/>
      <c r="I534" s="84"/>
      <c r="J534" s="84"/>
      <c r="K534" s="84"/>
      <c r="L534" s="84"/>
      <c r="M534" s="84"/>
      <c r="N534" s="84"/>
      <c r="O534" s="84"/>
      <c r="P534" s="84"/>
      <c r="Q534" s="84"/>
      <c r="R534" s="190"/>
      <c r="S534" s="222"/>
      <c r="U534" s="152"/>
    </row>
    <row r="535" customFormat="false" ht="13.8" hidden="false" customHeight="false" outlineLevel="0" collapsed="false">
      <c r="A535" s="278" t="s">
        <v>390</v>
      </c>
      <c r="B535" s="279"/>
      <c r="C535" s="279"/>
      <c r="D535" s="279"/>
      <c r="E535" s="280"/>
      <c r="F535" s="33"/>
      <c r="G535" s="167"/>
      <c r="H535" s="167"/>
      <c r="I535" s="167"/>
      <c r="J535" s="167"/>
      <c r="K535" s="167"/>
      <c r="L535" s="167"/>
      <c r="M535" s="167"/>
      <c r="N535" s="167"/>
      <c r="O535" s="167"/>
      <c r="P535" s="167"/>
      <c r="Q535" s="167"/>
      <c r="R535" s="197"/>
      <c r="S535" s="198"/>
    </row>
    <row r="536" customFormat="false" ht="13.8" hidden="false" customHeight="false" outlineLevel="0" collapsed="false">
      <c r="A536" s="115"/>
      <c r="B536" s="116" t="s">
        <v>139</v>
      </c>
      <c r="C536" s="205" t="s">
        <v>391</v>
      </c>
      <c r="D536" s="139"/>
      <c r="E536" s="130"/>
      <c r="F536" s="244"/>
      <c r="G536" s="129"/>
      <c r="H536" s="157"/>
      <c r="I536" s="133"/>
      <c r="J536" s="167"/>
      <c r="K536" s="143"/>
      <c r="L536" s="129"/>
      <c r="M536" s="135"/>
      <c r="N536" s="141"/>
      <c r="O536" s="137"/>
      <c r="P536" s="135"/>
      <c r="Q536" s="136"/>
      <c r="R536" s="197"/>
      <c r="S536" s="198"/>
    </row>
    <row r="537" customFormat="false" ht="17.9" hidden="false" customHeight="false" outlineLevel="0" collapsed="false">
      <c r="A537" s="128"/>
      <c r="B537" s="128"/>
      <c r="C537" s="36"/>
      <c r="D537" s="139" t="s">
        <v>392</v>
      </c>
      <c r="E537" s="130" t="str">
        <f aca="false">IF(D537="","",VLOOKUP(D537,matriz_codigo_prezos,2,FALSE()))</f>
        <v>Ensaio de arrincamento de bulón de ancoraxe pasivo, mínimo 10 ensaios por desprazamento, sen engadir medios auxiliares, por bulón.</v>
      </c>
      <c r="F537" s="256" t="n">
        <v>20</v>
      </c>
      <c r="G537" s="273" t="s">
        <v>393</v>
      </c>
      <c r="H537" s="157" t="n">
        <v>1</v>
      </c>
      <c r="I537" s="232" t="n">
        <f aca="false">ROUNDUP(A536/F537,0)</f>
        <v>0</v>
      </c>
      <c r="J537" s="233" t="s">
        <v>71</v>
      </c>
      <c r="K537" s="134" t="n">
        <f aca="false">$N$6</f>
        <v>0.3</v>
      </c>
      <c r="L537" s="129" t="n">
        <f aca="false">IF(   I537&gt;0, MAX( 10, ROUNDUP(H537*I537*K537,0) ),   0   )</f>
        <v>0</v>
      </c>
      <c r="M537" s="135" t="n">
        <f aca="false">P537</f>
        <v>58</v>
      </c>
      <c r="N537" s="136" t="n">
        <f aca="false">ROUND(L537*M537,2)</f>
        <v>0</v>
      </c>
      <c r="O537" s="137" t="n">
        <f aca="false">IF(   I537&gt;0, MAX( 10, INT(I537*H537)), 0   )</f>
        <v>0</v>
      </c>
      <c r="P537" s="135" t="n">
        <f aca="false">IF(D537="","",VLOOKUP(D537,matriz_codigo_prezos,6,FALSE()))</f>
        <v>58</v>
      </c>
      <c r="Q537" s="138" t="n">
        <f aca="false">IF(O537="","",ROUND(O537*P537,2))</f>
        <v>0</v>
      </c>
      <c r="R537" s="203" t="s">
        <v>394</v>
      </c>
      <c r="S537" s="198"/>
    </row>
    <row r="538" customFormat="false" ht="13.8" hidden="false" customHeight="false" outlineLevel="0" collapsed="false">
      <c r="C538" s="73"/>
      <c r="D538" s="139"/>
      <c r="E538" s="130" t="str">
        <f aca="false">IF(D538="","",VLOOKUP(D538,matriz_codigo_prezos,2,FALSE()))</f>
        <v/>
      </c>
      <c r="F538" s="25"/>
      <c r="G538" s="121"/>
      <c r="H538" s="121"/>
      <c r="I538" s="232"/>
      <c r="J538" s="236"/>
      <c r="K538" s="159"/>
      <c r="L538" s="129"/>
      <c r="M538" s="135"/>
      <c r="N538" s="136"/>
      <c r="O538" s="137"/>
      <c r="P538" s="135"/>
      <c r="Q538" s="138"/>
      <c r="R538" s="199"/>
      <c r="S538" s="198"/>
    </row>
    <row r="539" s="174" customFormat="true" ht="17.35" hidden="false" customHeight="false" outlineLevel="0" collapsed="false">
      <c r="A539" s="76" t="s">
        <v>395</v>
      </c>
      <c r="B539" s="76"/>
      <c r="C539" s="76"/>
      <c r="D539" s="76"/>
      <c r="E539" s="170" t="str">
        <f aca="false">IF(D539="","",VLOOKUP(D539,matriz_codigo_prezos,2,FALSE()))</f>
        <v/>
      </c>
      <c r="F539" s="76"/>
      <c r="G539" s="171"/>
      <c r="H539" s="171"/>
      <c r="I539" s="171"/>
      <c r="J539" s="171"/>
      <c r="K539" s="171"/>
      <c r="L539" s="171"/>
      <c r="M539" s="171"/>
      <c r="N539" s="171"/>
      <c r="O539" s="171"/>
      <c r="P539" s="171"/>
      <c r="Q539" s="171"/>
      <c r="R539" s="172"/>
      <c r="S539" s="173"/>
      <c r="U539" s="175"/>
    </row>
    <row r="540" s="193" customFormat="true" ht="13.8" hidden="false" customHeight="false" outlineLevel="0" collapsed="false">
      <c r="A540" s="101" t="s">
        <v>396</v>
      </c>
      <c r="B540" s="101"/>
      <c r="C540" s="101"/>
      <c r="D540" s="101"/>
      <c r="E540" s="102" t="str">
        <f aca="false">IF(D540="","",VLOOKUP(D540,matriz_codigo_prezos,2,FALSE()))</f>
        <v/>
      </c>
      <c r="F540" s="101"/>
      <c r="G540" s="103"/>
      <c r="H540" s="103"/>
      <c r="I540" s="103"/>
      <c r="J540" s="103"/>
      <c r="K540" s="103"/>
      <c r="L540" s="103"/>
      <c r="M540" s="103"/>
      <c r="N540" s="103"/>
      <c r="O540" s="103"/>
      <c r="P540" s="103"/>
      <c r="Q540" s="103"/>
      <c r="R540" s="191"/>
      <c r="S540" s="192"/>
      <c r="U540" s="188"/>
    </row>
    <row r="541" customFormat="false" ht="13.8" hidden="false" customHeight="false" outlineLevel="0" collapsed="false">
      <c r="A541" s="115"/>
      <c r="B541" s="116" t="s">
        <v>135</v>
      </c>
      <c r="C541" s="73"/>
      <c r="D541" s="139"/>
      <c r="E541" s="130" t="str">
        <f aca="false">IF(D541="","",VLOOKUP(D541,matriz_codigo_prezos,2,FALSE()))</f>
        <v/>
      </c>
      <c r="F541" s="244"/>
      <c r="G541" s="129"/>
      <c r="H541" s="157"/>
      <c r="I541" s="133"/>
      <c r="J541" s="167"/>
      <c r="K541" s="143"/>
      <c r="L541" s="129"/>
      <c r="M541" s="135"/>
      <c r="N541" s="141"/>
      <c r="O541" s="137"/>
      <c r="P541" s="135"/>
      <c r="Q541" s="136"/>
      <c r="R541" s="197"/>
      <c r="S541" s="198"/>
    </row>
    <row r="542" customFormat="false" ht="17.9" hidden="false" customHeight="false" outlineLevel="0" collapsed="false">
      <c r="A542" s="128"/>
      <c r="B542" s="128"/>
      <c r="C542" s="36"/>
      <c r="D542" s="139" t="s">
        <v>397</v>
      </c>
      <c r="E542" s="130" t="str">
        <f aca="false">IF(D542="","",VLOOKUP(D542,matriz_codigo_prezos,2,FALSE()))</f>
        <v>Supervisión de proba de presión e estanqueidade nun tramo da rede e elaboración de informe</v>
      </c>
      <c r="F542" s="256" t="n">
        <v>500</v>
      </c>
      <c r="G542" s="129" t="s">
        <v>135</v>
      </c>
      <c r="H542" s="157" t="n">
        <v>1</v>
      </c>
      <c r="I542" s="232" t="n">
        <f aca="false">ROUNDUP(A$541/F542,0)</f>
        <v>0</v>
      </c>
      <c r="J542" s="233" t="s">
        <v>71</v>
      </c>
      <c r="K542" s="134" t="n">
        <f aca="false">$N$6</f>
        <v>0.3</v>
      </c>
      <c r="L542" s="129" t="n">
        <f aca="false">ROUNDUP(H542*I542*K542,0)</f>
        <v>0</v>
      </c>
      <c r="M542" s="135" t="n">
        <f aca="false">P542</f>
        <v>575</v>
      </c>
      <c r="N542" s="136" t="n">
        <f aca="false">ROUND(L542*M542,2)</f>
        <v>0</v>
      </c>
      <c r="O542" s="137" t="n">
        <f aca="false">INT(I542*H542)</f>
        <v>0</v>
      </c>
      <c r="P542" s="135" t="n">
        <f aca="false">IF(D542="","",VLOOKUP(D542,matriz_codigo_prezos,6,FALSE()))</f>
        <v>575</v>
      </c>
      <c r="Q542" s="138" t="n">
        <f aca="false">IF(O542="","",ROUND(O542*P542,2))</f>
        <v>0</v>
      </c>
      <c r="R542" s="203" t="s">
        <v>398</v>
      </c>
      <c r="S542" s="198"/>
    </row>
    <row r="543" customFormat="false" ht="34.3" hidden="false" customHeight="false" outlineLevel="0" collapsed="false">
      <c r="A543" s="128"/>
      <c r="B543" s="128"/>
      <c r="C543" s="36"/>
      <c r="D543" s="129" t="s">
        <v>399</v>
      </c>
      <c r="E543" s="130" t="str">
        <f aca="false">IF(D543="","",VLOOKUP(D543,matriz_codigo_prezos,2,FALSE()))</f>
        <v>Inspección de canalización nova mediante videocámara por circuito pechado de televisión e inclinómetro para determinación de pendentes instantáneas, acompañado con informe que inclúe: vídeo da inspección en formato dixital e actas de inspección (mínimo facturable 400 ml)</v>
      </c>
      <c r="F543" s="272" t="n">
        <v>1</v>
      </c>
      <c r="G543" s="129" t="s">
        <v>135</v>
      </c>
      <c r="H543" s="157" t="n">
        <v>1</v>
      </c>
      <c r="I543" s="232" t="n">
        <f aca="false">IF(A541=0,0,IF(A541&gt;0,MAX(400,ROUNDUP(A$541/F543,0))))</f>
        <v>0</v>
      </c>
      <c r="J543" s="233" t="s">
        <v>71</v>
      </c>
      <c r="K543" s="134" t="n">
        <f aca="false">$N$6</f>
        <v>0.3</v>
      </c>
      <c r="L543" s="129" t="n">
        <f aca="false">IF(   A541&gt;0,   MAX(  400,  ROUNDUP(H543*I543*K543,0)   ),   0   )</f>
        <v>0</v>
      </c>
      <c r="M543" s="135" t="n">
        <f aca="false">P543</f>
        <v>3</v>
      </c>
      <c r="N543" s="136" t="n">
        <f aca="false">ROUND(L543*M543,2)</f>
        <v>0</v>
      </c>
      <c r="O543" s="137" t="n">
        <f aca="false">INT(I543*H543)</f>
        <v>0</v>
      </c>
      <c r="P543" s="135" t="n">
        <f aca="false">IF(D543="","",VLOOKUP(D543,matriz_codigo_prezos,6,FALSE()))</f>
        <v>3</v>
      </c>
      <c r="Q543" s="138" t="n">
        <f aca="false">IF(O543="","",ROUND(O543*P543,2))</f>
        <v>0</v>
      </c>
      <c r="R543" s="203" t="s">
        <v>400</v>
      </c>
      <c r="S543" s="198"/>
    </row>
    <row r="544" customFormat="false" ht="13.8" hidden="false" customHeight="false" outlineLevel="0" collapsed="false">
      <c r="C544" s="73"/>
      <c r="D544" s="139"/>
      <c r="E544" s="130" t="str">
        <f aca="false">IF(D544="","",VLOOKUP(D544,matriz_codigo_prezos,2,FALSE()))</f>
        <v/>
      </c>
      <c r="F544" s="25"/>
      <c r="G544" s="121"/>
      <c r="H544" s="121"/>
      <c r="I544" s="232"/>
      <c r="J544" s="236"/>
      <c r="K544" s="159"/>
      <c r="L544" s="129"/>
      <c r="M544" s="135"/>
      <c r="N544" s="136"/>
      <c r="O544" s="137"/>
      <c r="P544" s="135"/>
      <c r="Q544" s="138"/>
      <c r="R544" s="199"/>
      <c r="S544" s="198"/>
    </row>
    <row r="545" s="193" customFormat="true" ht="13.8" hidden="false" customHeight="false" outlineLevel="0" collapsed="false">
      <c r="A545" s="101" t="s">
        <v>401</v>
      </c>
      <c r="B545" s="101"/>
      <c r="C545" s="101"/>
      <c r="D545" s="101"/>
      <c r="E545" s="102" t="str">
        <f aca="false">IF(D545="","",VLOOKUP(D545,matriz_codigo_prezos,2,FALSE()))</f>
        <v/>
      </c>
      <c r="F545" s="101"/>
      <c r="G545" s="103"/>
      <c r="H545" s="103"/>
      <c r="I545" s="103"/>
      <c r="J545" s="103"/>
      <c r="K545" s="103"/>
      <c r="L545" s="103"/>
      <c r="M545" s="103"/>
      <c r="N545" s="103"/>
      <c r="O545" s="103"/>
      <c r="P545" s="103"/>
      <c r="Q545" s="103"/>
      <c r="R545" s="191"/>
      <c r="S545" s="192"/>
      <c r="U545" s="188"/>
    </row>
    <row r="546" customFormat="false" ht="13.8" hidden="false" customHeight="false" outlineLevel="0" collapsed="false">
      <c r="A546" s="115"/>
      <c r="B546" s="116" t="s">
        <v>135</v>
      </c>
      <c r="C546" s="205" t="s">
        <v>402</v>
      </c>
      <c r="D546" s="139"/>
      <c r="E546" s="130"/>
      <c r="F546" s="244"/>
      <c r="G546" s="129"/>
      <c r="H546" s="157"/>
      <c r="I546" s="133"/>
      <c r="J546" s="167"/>
      <c r="K546" s="143"/>
      <c r="L546" s="129"/>
      <c r="M546" s="135"/>
      <c r="N546" s="141"/>
      <c r="O546" s="137"/>
      <c r="P546" s="135"/>
      <c r="Q546" s="136"/>
      <c r="R546" s="197"/>
      <c r="S546" s="198"/>
    </row>
    <row r="547" customFormat="false" ht="17.9" hidden="false" customHeight="false" outlineLevel="0" collapsed="false">
      <c r="A547" s="128"/>
      <c r="B547" s="128"/>
      <c r="C547" s="36"/>
      <c r="D547" s="139" t="s">
        <v>397</v>
      </c>
      <c r="E547" s="130" t="str">
        <f aca="false">IF(D547="","",VLOOKUP(D547,matriz_codigo_prezos,2,FALSE()))</f>
        <v>Supervisión de proba de presión e estanqueidade nun tramo da rede e elaboración de informe</v>
      </c>
      <c r="F547" s="256" t="n">
        <v>500</v>
      </c>
      <c r="G547" s="129" t="s">
        <v>135</v>
      </c>
      <c r="H547" s="157" t="n">
        <v>1</v>
      </c>
      <c r="I547" s="232" t="n">
        <f aca="false">ROUNDUP(A546/F547,0)</f>
        <v>0</v>
      </c>
      <c r="J547" s="233" t="s">
        <v>71</v>
      </c>
      <c r="K547" s="134" t="n">
        <f aca="false">$N$6</f>
        <v>0.3</v>
      </c>
      <c r="L547" s="129" t="n">
        <f aca="false">ROUNDUP(H547*I547*K547,0)</f>
        <v>0</v>
      </c>
      <c r="M547" s="135" t="n">
        <f aca="false">P547</f>
        <v>575</v>
      </c>
      <c r="N547" s="136" t="n">
        <f aca="false">ROUND(L547*M547,2)</f>
        <v>0</v>
      </c>
      <c r="O547" s="137" t="n">
        <f aca="false">INT(I547*H547)</f>
        <v>0</v>
      </c>
      <c r="P547" s="135" t="n">
        <f aca="false">IF(D547="","",VLOOKUP(D547,matriz_codigo_prezos,6,FALSE()))</f>
        <v>575</v>
      </c>
      <c r="Q547" s="138" t="n">
        <f aca="false">IF(O547="","",ROUND(O547*P547,2))</f>
        <v>0</v>
      </c>
      <c r="R547" s="199"/>
      <c r="S547" s="198"/>
    </row>
    <row r="548" customFormat="false" ht="13.8" hidden="false" customHeight="false" outlineLevel="0" collapsed="false">
      <c r="C548" s="73"/>
      <c r="E548" s="130" t="str">
        <f aca="false">IF(D548="","",VLOOKUP(D548,matriz_codigo_prezos,2,FALSE()))</f>
        <v/>
      </c>
      <c r="F548" s="256"/>
      <c r="G548" s="139"/>
      <c r="H548" s="281"/>
      <c r="I548" s="282"/>
      <c r="J548" s="283"/>
      <c r="K548" s="284"/>
      <c r="L548" s="25"/>
      <c r="M548" s="74"/>
      <c r="N548" s="285"/>
      <c r="O548" s="125"/>
      <c r="P548" s="74"/>
      <c r="Q548" s="286"/>
      <c r="R548" s="199"/>
      <c r="S548" s="198"/>
    </row>
    <row r="549" customFormat="false" ht="13.8" hidden="false" customHeight="false" outlineLevel="0" collapsed="false">
      <c r="C549" s="73"/>
      <c r="E549" s="287"/>
      <c r="F549" s="25"/>
      <c r="G549" s="25"/>
      <c r="H549" s="25"/>
      <c r="I549" s="288"/>
      <c r="J549" s="25"/>
      <c r="K549" s="284"/>
      <c r="L549" s="25"/>
      <c r="M549" s="74"/>
      <c r="N549" s="285"/>
      <c r="O549" s="125"/>
      <c r="P549" s="74"/>
      <c r="Q549" s="289"/>
      <c r="R549" s="199"/>
      <c r="S549" s="198"/>
    </row>
    <row r="550" customFormat="false" ht="19.5" hidden="false" customHeight="true" outlineLevel="0" collapsed="false">
      <c r="A550" s="290" t="s">
        <v>403</v>
      </c>
      <c r="B550" s="290"/>
      <c r="C550" s="290"/>
      <c r="D550" s="290"/>
      <c r="E550" s="290"/>
      <c r="F550" s="290"/>
      <c r="G550" s="290"/>
      <c r="H550" s="290"/>
      <c r="I550" s="290"/>
      <c r="J550" s="291"/>
      <c r="K550" s="292" t="n">
        <f aca="false">SUM(N10:N549)</f>
        <v>0</v>
      </c>
      <c r="L550" s="292"/>
      <c r="M550" s="292"/>
      <c r="N550" s="292"/>
      <c r="O550" s="293" t="n">
        <f aca="false">SUM(Q10:Q549)</f>
        <v>0</v>
      </c>
      <c r="P550" s="293"/>
      <c r="Q550" s="293"/>
      <c r="R550" s="294"/>
      <c r="S550" s="295"/>
      <c r="T550" s="296"/>
      <c r="U550" s="297"/>
      <c r="V550" s="296"/>
      <c r="W550" s="296"/>
      <c r="X550" s="296"/>
      <c r="Y550" s="296"/>
      <c r="Z550" s="296"/>
      <c r="AA550" s="296"/>
      <c r="AB550" s="296"/>
      <c r="AC550" s="296"/>
      <c r="AD550" s="296"/>
      <c r="AE550" s="296"/>
      <c r="AF550" s="296"/>
      <c r="AG550" s="296"/>
      <c r="AH550" s="296"/>
      <c r="AI550" s="296"/>
      <c r="AJ550" s="296"/>
      <c r="AK550" s="296"/>
      <c r="AL550" s="296"/>
      <c r="AM550" s="296"/>
      <c r="AN550" s="296"/>
      <c r="AO550" s="296"/>
      <c r="AP550" s="296"/>
      <c r="AQ550" s="296"/>
      <c r="AR550" s="296"/>
      <c r="AS550" s="296"/>
      <c r="AT550" s="296"/>
      <c r="AU550" s="296"/>
      <c r="AV550" s="296"/>
      <c r="AW550" s="296"/>
      <c r="AX550" s="296"/>
      <c r="AY550" s="296"/>
      <c r="AZ550" s="296"/>
      <c r="BA550" s="296"/>
      <c r="BB550" s="296"/>
      <c r="BC550" s="296"/>
      <c r="BD550" s="296"/>
      <c r="BE550" s="296"/>
      <c r="BF550" s="296"/>
      <c r="BG550" s="296"/>
      <c r="BH550" s="296"/>
      <c r="BI550" s="296"/>
      <c r="BJ550" s="296"/>
      <c r="BK550" s="296"/>
      <c r="BL550" s="296"/>
      <c r="AME550" s="298"/>
      <c r="AMF550" s="298"/>
      <c r="AMG550" s="298"/>
      <c r="AMH550" s="298"/>
      <c r="AMI550" s="298"/>
      <c r="AMJ550" s="298"/>
    </row>
    <row r="552" customFormat="false" ht="13.8" hidden="false" customHeight="false" outlineLevel="0" collapsed="false">
      <c r="J552" s="299" t="s">
        <v>404</v>
      </c>
    </row>
  </sheetData>
  <mergeCells count="11">
    <mergeCell ref="K1:N3"/>
    <mergeCell ref="O1:Q3"/>
    <mergeCell ref="U1:W3"/>
    <mergeCell ref="A5:B5"/>
    <mergeCell ref="K5:N5"/>
    <mergeCell ref="O5:Q6"/>
    <mergeCell ref="U5:W6"/>
    <mergeCell ref="K6:M6"/>
    <mergeCell ref="A550:I550"/>
    <mergeCell ref="K550:N550"/>
    <mergeCell ref="O550:Q550"/>
  </mergeCells>
  <printOptions headings="false" gridLines="false" gridLinesSet="true" horizontalCentered="false" verticalCentered="false"/>
  <pageMargins left="0.708333333333333" right="0.708333333333333" top="0.315277777777778" bottom="0.315277777777778"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BL18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E3" activeCellId="0" sqref="E3"/>
    </sheetView>
  </sheetViews>
  <sheetFormatPr defaultColWidth="11.58984375" defaultRowHeight="15" zeroHeight="false" outlineLevelRow="0" outlineLevelCol="0"/>
  <cols>
    <col collapsed="false" customWidth="true" hidden="false" outlineLevel="0" max="1" min="1" style="300" width="5.14"/>
    <col collapsed="false" customWidth="true" hidden="false" outlineLevel="0" max="2" min="2" style="300" width="5.71"/>
    <col collapsed="false" customWidth="true" hidden="false" outlineLevel="0" max="3" min="3" style="301" width="69.29"/>
    <col collapsed="false" customWidth="true" hidden="false" outlineLevel="0" max="4" min="4" style="210" width="15"/>
    <col collapsed="false" customWidth="true" hidden="false" outlineLevel="0" max="5" min="5" style="210" width="19.42"/>
    <col collapsed="false" customWidth="true" hidden="false" outlineLevel="0" max="6" min="6" style="210" width="13.86"/>
    <col collapsed="false" customWidth="true" hidden="false" outlineLevel="0" max="7" min="7" style="302" width="11.85"/>
    <col collapsed="false" customWidth="true" hidden="false" outlineLevel="0" max="8" min="8" style="302" width="7.29"/>
    <col collapsed="false" customWidth="false" hidden="false" outlineLevel="0" max="1024" min="9" style="210" width="11.57"/>
  </cols>
  <sheetData>
    <row r="1" customFormat="false" ht="15" hidden="false" customHeight="false" outlineLevel="0" collapsed="false">
      <c r="C1" s="303"/>
      <c r="D1" s="300"/>
      <c r="E1" s="300"/>
      <c r="F1" s="300"/>
    </row>
    <row r="2" customFormat="false" ht="15" hidden="false" customHeight="false" outlineLevel="0" collapsed="false">
      <c r="C2" s="303"/>
      <c r="D2" s="304" t="s">
        <v>405</v>
      </c>
      <c r="E2" s="305" t="n">
        <f aca="false">Iniciar_Aqui!B8</f>
        <v>0</v>
      </c>
      <c r="F2" s="300"/>
    </row>
    <row r="3" customFormat="false" ht="15" hidden="false" customHeight="false" outlineLevel="0" collapsed="false">
      <c r="C3" s="303"/>
      <c r="D3" s="304" t="s">
        <v>406</v>
      </c>
      <c r="E3" s="306" t="n">
        <f aca="false">IF(E2&lt;=300000,1,IF(E2&lt;=2000000,2,3))</f>
        <v>1</v>
      </c>
      <c r="F3" s="300"/>
    </row>
    <row r="4" customFormat="false" ht="15" hidden="false" customHeight="false" outlineLevel="0" collapsed="false">
      <c r="C4" s="303"/>
      <c r="D4" s="300"/>
      <c r="E4" s="300"/>
      <c r="F4" s="300"/>
    </row>
    <row r="5" customFormat="false" ht="15" hidden="false" customHeight="false" outlineLevel="0" collapsed="false">
      <c r="A5" s="307" t="s">
        <v>407</v>
      </c>
      <c r="B5" s="307"/>
      <c r="C5" s="307"/>
      <c r="D5" s="308" t="s">
        <v>408</v>
      </c>
      <c r="E5" s="308"/>
      <c r="F5" s="308"/>
      <c r="G5" s="308"/>
    </row>
    <row r="6" customFormat="false" ht="15" hidden="false" customHeight="false" outlineLevel="0" collapsed="false">
      <c r="C6" s="303"/>
      <c r="D6" s="308" t="s">
        <v>409</v>
      </c>
      <c r="E6" s="308" t="s">
        <v>410</v>
      </c>
      <c r="F6" s="308" t="s">
        <v>411</v>
      </c>
      <c r="G6" s="309" t="s">
        <v>412</v>
      </c>
    </row>
    <row r="7" customFormat="false" ht="15" hidden="false" customHeight="false" outlineLevel="0" collapsed="false">
      <c r="A7" s="308" t="s">
        <v>413</v>
      </c>
      <c r="B7" s="308" t="s">
        <v>414</v>
      </c>
      <c r="C7" s="310" t="s">
        <v>415</v>
      </c>
      <c r="D7" s="311" t="s">
        <v>416</v>
      </c>
      <c r="E7" s="311" t="s">
        <v>417</v>
      </c>
      <c r="F7" s="312" t="s">
        <v>418</v>
      </c>
      <c r="G7" s="313" t="s">
        <v>419</v>
      </c>
    </row>
    <row r="8" s="318" customFormat="true" ht="18.75" hidden="false" customHeight="false" outlineLevel="0" collapsed="false">
      <c r="A8" s="314"/>
      <c r="B8" s="315"/>
      <c r="C8" s="316" t="s">
        <v>420</v>
      </c>
      <c r="D8" s="315"/>
      <c r="E8" s="315"/>
      <c r="F8" s="315"/>
      <c r="G8" s="315"/>
      <c r="H8" s="317"/>
    </row>
    <row r="9" s="322" customFormat="true" ht="15.75" hidden="false" customHeight="false" outlineLevel="0" collapsed="false">
      <c r="A9" s="319"/>
      <c r="B9" s="319"/>
      <c r="C9" s="320" t="s">
        <v>51</v>
      </c>
      <c r="D9" s="319"/>
      <c r="E9" s="319"/>
      <c r="F9" s="319"/>
      <c r="G9" s="319"/>
      <c r="H9" s="321"/>
    </row>
    <row r="10" customFormat="false" ht="22.5" hidden="false" customHeight="false" outlineLevel="0" collapsed="false">
      <c r="A10" s="323" t="s">
        <v>139</v>
      </c>
      <c r="B10" s="323" t="s">
        <v>56</v>
      </c>
      <c r="C10" s="324" t="s">
        <v>421</v>
      </c>
      <c r="D10" s="325" t="n">
        <v>44</v>
      </c>
      <c r="E10" s="325" t="n">
        <f aca="false">ROUNDDOWN(D10*0.95,0)</f>
        <v>41</v>
      </c>
      <c r="F10" s="325" t="n">
        <f aca="false">ROUNDDOWN(D10*0.9,0)</f>
        <v>39</v>
      </c>
      <c r="G10" s="326" t="n">
        <f aca="false">IF(tramo_prezo=1,D10,IF(tramo_prezo=2,E10,IF(tramo_prezo=3,F10,"error")))</f>
        <v>44</v>
      </c>
    </row>
    <row r="11" customFormat="false" ht="15" hidden="false" customHeight="false" outlineLevel="0" collapsed="false">
      <c r="A11" s="323" t="s">
        <v>139</v>
      </c>
      <c r="B11" s="323" t="s">
        <v>78</v>
      </c>
      <c r="C11" s="324" t="s">
        <v>422</v>
      </c>
      <c r="D11" s="325" t="n">
        <v>69</v>
      </c>
      <c r="E11" s="325" t="n">
        <f aca="false">ROUNDDOWN(D11*0.95,0)</f>
        <v>65</v>
      </c>
      <c r="F11" s="325" t="n">
        <f aca="false">ROUNDDOWN(D11*0.9,0)</f>
        <v>62</v>
      </c>
      <c r="G11" s="326" t="n">
        <f aca="false">IF(tramo_prezo=1,D11,IF(tramo_prezo=2,E11,IF(tramo_prezo=3,F11,"error")))</f>
        <v>69</v>
      </c>
    </row>
    <row r="12" customFormat="false" ht="15" hidden="false" customHeight="false" outlineLevel="0" collapsed="false">
      <c r="A12" s="323" t="s">
        <v>139</v>
      </c>
      <c r="B12" s="323" t="s">
        <v>58</v>
      </c>
      <c r="C12" s="324" t="s">
        <v>423</v>
      </c>
      <c r="D12" s="325" t="n">
        <v>63</v>
      </c>
      <c r="E12" s="325" t="n">
        <f aca="false">ROUNDDOWN(D12*0.95,0)</f>
        <v>59</v>
      </c>
      <c r="F12" s="325" t="n">
        <f aca="false">ROUNDDOWN(D12*0.9,0)</f>
        <v>56</v>
      </c>
      <c r="G12" s="326" t="n">
        <f aca="false">IF(tramo_prezo=1,D12,IF(tramo_prezo=2,E12,IF(tramo_prezo=3,F12,"error")))</f>
        <v>63</v>
      </c>
    </row>
    <row r="13" customFormat="false" ht="22.5" hidden="false" customHeight="false" outlineLevel="0" collapsed="false">
      <c r="A13" s="323" t="s">
        <v>139</v>
      </c>
      <c r="B13" s="323" t="s">
        <v>59</v>
      </c>
      <c r="C13" s="324" t="s">
        <v>424</v>
      </c>
      <c r="D13" s="325" t="n">
        <v>35</v>
      </c>
      <c r="E13" s="325" t="n">
        <f aca="false">ROUNDDOWN(D13*0.95,0)</f>
        <v>33</v>
      </c>
      <c r="F13" s="325" t="n">
        <f aca="false">ROUNDDOWN(D13*0.9,0)</f>
        <v>31</v>
      </c>
      <c r="G13" s="326" t="n">
        <f aca="false">IF(tramo_prezo=1,D13,IF(tramo_prezo=2,E13,IF(tramo_prezo=3,F13,"error")))</f>
        <v>35</v>
      </c>
    </row>
    <row r="14" customFormat="false" ht="15" hidden="false" customHeight="false" outlineLevel="0" collapsed="false">
      <c r="A14" s="323" t="s">
        <v>139</v>
      </c>
      <c r="B14" s="323" t="s">
        <v>60</v>
      </c>
      <c r="C14" s="324" t="s">
        <v>425</v>
      </c>
      <c r="D14" s="325" t="n">
        <v>69</v>
      </c>
      <c r="E14" s="325" t="n">
        <f aca="false">ROUNDDOWN(D14*0.95,0)</f>
        <v>65</v>
      </c>
      <c r="F14" s="325" t="n">
        <f aca="false">ROUNDDOWN(D14*0.9,0)</f>
        <v>62</v>
      </c>
      <c r="G14" s="326" t="n">
        <f aca="false">IF(tramo_prezo=1,D14,IF(tramo_prezo=2,E14,IF(tramo_prezo=3,F14,"error")))</f>
        <v>69</v>
      </c>
    </row>
    <row r="15" customFormat="false" ht="15" hidden="false" customHeight="false" outlineLevel="0" collapsed="false">
      <c r="A15" s="323" t="s">
        <v>139</v>
      </c>
      <c r="B15" s="323" t="s">
        <v>426</v>
      </c>
      <c r="C15" s="324" t="s">
        <v>427</v>
      </c>
      <c r="D15" s="325" t="n">
        <v>70</v>
      </c>
      <c r="E15" s="325" t="n">
        <f aca="false">ROUNDDOWN(D15*0.95,0)</f>
        <v>66</v>
      </c>
      <c r="F15" s="325" t="n">
        <f aca="false">ROUNDDOWN(D15*0.9,0)</f>
        <v>63</v>
      </c>
      <c r="G15" s="326" t="n">
        <f aca="false">IF(tramo_prezo=1,D15,IF(tramo_prezo=2,E15,IF(tramo_prezo=3,F15,"error")))</f>
        <v>70</v>
      </c>
    </row>
    <row r="16" customFormat="false" ht="15" hidden="false" customHeight="false" outlineLevel="0" collapsed="false">
      <c r="A16" s="323" t="s">
        <v>139</v>
      </c>
      <c r="B16" s="323" t="s">
        <v>61</v>
      </c>
      <c r="C16" s="324" t="s">
        <v>428</v>
      </c>
      <c r="D16" s="325" t="n">
        <v>92</v>
      </c>
      <c r="E16" s="325" t="n">
        <f aca="false">ROUNDDOWN(D16*0.95,0)</f>
        <v>87</v>
      </c>
      <c r="F16" s="325" t="n">
        <f aca="false">ROUNDDOWN(D16*0.9,0)</f>
        <v>82</v>
      </c>
      <c r="G16" s="326" t="n">
        <f aca="false">IF(tramo_prezo=1,D16,IF(tramo_prezo=2,E16,IF(tramo_prezo=3,F16,"error")))</f>
        <v>92</v>
      </c>
      <c r="I16" s="327"/>
    </row>
    <row r="17" customFormat="false" ht="15" hidden="false" customHeight="false" outlineLevel="0" collapsed="false">
      <c r="A17" s="323" t="s">
        <v>139</v>
      </c>
      <c r="B17" s="323" t="s">
        <v>429</v>
      </c>
      <c r="C17" s="324" t="s">
        <v>430</v>
      </c>
      <c r="D17" s="325" t="n">
        <v>64</v>
      </c>
      <c r="E17" s="325" t="n">
        <f aca="false">ROUNDDOWN(D17*0.95,0)</f>
        <v>60</v>
      </c>
      <c r="F17" s="325" t="n">
        <f aca="false">ROUNDDOWN(D17*0.9,0)</f>
        <v>57</v>
      </c>
      <c r="G17" s="326" t="n">
        <f aca="false">IF(tramo_prezo=1,D17,IF(tramo_prezo=2,E17,IF(tramo_prezo=3,F17,"error")))</f>
        <v>64</v>
      </c>
    </row>
    <row r="18" customFormat="false" ht="15" hidden="false" customHeight="false" outlineLevel="0" collapsed="false">
      <c r="A18" s="323" t="s">
        <v>139</v>
      </c>
      <c r="B18" s="323" t="s">
        <v>62</v>
      </c>
      <c r="C18" s="324" t="s">
        <v>431</v>
      </c>
      <c r="D18" s="325" t="n">
        <v>69</v>
      </c>
      <c r="E18" s="325" t="n">
        <f aca="false">ROUNDDOWN(D18*0.95,0)</f>
        <v>65</v>
      </c>
      <c r="F18" s="325" t="n">
        <f aca="false">ROUNDDOWN(D18*0.9,0)</f>
        <v>62</v>
      </c>
      <c r="G18" s="326" t="n">
        <f aca="false">IF(tramo_prezo=1,D18,IF(tramo_prezo=2,E18,IF(tramo_prezo=3,F18,"error")))</f>
        <v>69</v>
      </c>
    </row>
    <row r="19" customFormat="false" ht="15" hidden="false" customHeight="false" outlineLevel="0" collapsed="false">
      <c r="A19" s="323" t="s">
        <v>139</v>
      </c>
      <c r="B19" s="323" t="s">
        <v>63</v>
      </c>
      <c r="C19" s="324" t="s">
        <v>432</v>
      </c>
      <c r="D19" s="325" t="n">
        <v>83</v>
      </c>
      <c r="E19" s="325" t="n">
        <f aca="false">ROUNDDOWN(D19*0.95,0)</f>
        <v>78</v>
      </c>
      <c r="F19" s="325" t="n">
        <f aca="false">ROUNDDOWN(D19*0.9,0)</f>
        <v>74</v>
      </c>
      <c r="G19" s="326" t="n">
        <f aca="false">IF(tramo_prezo=1,D19,IF(tramo_prezo=2,E19,IF(tramo_prezo=3,F19,"error")))</f>
        <v>83</v>
      </c>
    </row>
    <row r="20" customFormat="false" ht="22.5" hidden="false" customHeight="false" outlineLevel="0" collapsed="false">
      <c r="A20" s="323" t="s">
        <v>139</v>
      </c>
      <c r="B20" s="323" t="s">
        <v>433</v>
      </c>
      <c r="C20" s="324" t="s">
        <v>434</v>
      </c>
      <c r="D20" s="325" t="n">
        <v>145</v>
      </c>
      <c r="E20" s="325" t="n">
        <f aca="false">ROUNDDOWN(D20*0.95,0)</f>
        <v>137</v>
      </c>
      <c r="F20" s="325" t="n">
        <f aca="false">ROUNDDOWN(D20*0.9,0)</f>
        <v>130</v>
      </c>
      <c r="G20" s="326" t="n">
        <f aca="false">IF(tramo_prezo=1,D20,IF(tramo_prezo=2,E20,IF(tramo_prezo=3,F20,"error")))</f>
        <v>145</v>
      </c>
    </row>
    <row r="21" customFormat="false" ht="15" hidden="false" customHeight="false" outlineLevel="0" collapsed="false">
      <c r="A21" s="323" t="s">
        <v>139</v>
      </c>
      <c r="B21" s="323" t="s">
        <v>64</v>
      </c>
      <c r="C21" s="324" t="s">
        <v>435</v>
      </c>
      <c r="D21" s="325" t="n">
        <v>83</v>
      </c>
      <c r="E21" s="325" t="n">
        <f aca="false">ROUNDDOWN(D21*0.95,0)</f>
        <v>78</v>
      </c>
      <c r="F21" s="325" t="n">
        <f aca="false">ROUNDDOWN(D21*0.9,0)</f>
        <v>74</v>
      </c>
      <c r="G21" s="326" t="n">
        <f aca="false">IF(tramo_prezo=1,D21,IF(tramo_prezo=2,E21,IF(tramo_prezo=3,F21,"error")))</f>
        <v>83</v>
      </c>
    </row>
    <row r="22" customFormat="false" ht="15" hidden="false" customHeight="false" outlineLevel="0" collapsed="false">
      <c r="A22" s="323" t="s">
        <v>139</v>
      </c>
      <c r="B22" s="323" t="s">
        <v>65</v>
      </c>
      <c r="C22" s="324" t="s">
        <v>436</v>
      </c>
      <c r="D22" s="325" t="n">
        <v>78</v>
      </c>
      <c r="E22" s="325" t="n">
        <f aca="false">ROUNDDOWN(D22*0.95,0)</f>
        <v>74</v>
      </c>
      <c r="F22" s="325" t="n">
        <f aca="false">ROUNDDOWN(D22*0.9,0)</f>
        <v>70</v>
      </c>
      <c r="G22" s="326" t="n">
        <f aca="false">IF(tramo_prezo=1,D22,IF(tramo_prezo=2,E22,IF(tramo_prezo=3,F22,"error")))</f>
        <v>78</v>
      </c>
    </row>
    <row r="23" customFormat="false" ht="22.5" hidden="false" customHeight="false" outlineLevel="0" collapsed="false">
      <c r="A23" s="323" t="s">
        <v>139</v>
      </c>
      <c r="B23" s="323" t="s">
        <v>77</v>
      </c>
      <c r="C23" s="324" t="s">
        <v>437</v>
      </c>
      <c r="D23" s="325" t="n">
        <v>173</v>
      </c>
      <c r="E23" s="325" t="n">
        <f aca="false">ROUNDDOWN(D23*0.95,0)</f>
        <v>164</v>
      </c>
      <c r="F23" s="325" t="n">
        <f aca="false">ROUNDDOWN(D23*0.9,0)</f>
        <v>155</v>
      </c>
      <c r="G23" s="326" t="n">
        <f aca="false">IF(tramo_prezo=1,D23,IF(tramo_prezo=2,E23,IF(tramo_prezo=3,F23,"error")))</f>
        <v>173</v>
      </c>
    </row>
    <row r="24" customFormat="false" ht="22.5" hidden="false" customHeight="false" outlineLevel="0" collapsed="false">
      <c r="A24" s="323" t="s">
        <v>139</v>
      </c>
      <c r="B24" s="323" t="s">
        <v>102</v>
      </c>
      <c r="C24" s="324" t="s">
        <v>438</v>
      </c>
      <c r="D24" s="325" t="n">
        <v>173</v>
      </c>
      <c r="E24" s="325" t="n">
        <f aca="false">ROUNDDOWN(D24*0.95,0)</f>
        <v>164</v>
      </c>
      <c r="F24" s="325" t="n">
        <f aca="false">ROUNDDOWN(D24*0.9,0)</f>
        <v>155</v>
      </c>
      <c r="G24" s="326" t="n">
        <f aca="false">IF(tramo_prezo=1,D24,IF(tramo_prezo=2,E24,IF(tramo_prezo=3,F24,"error")))</f>
        <v>173</v>
      </c>
    </row>
    <row r="25" customFormat="false" ht="15" hidden="false" customHeight="false" outlineLevel="0" collapsed="false">
      <c r="A25" s="323" t="s">
        <v>139</v>
      </c>
      <c r="B25" s="323" t="s">
        <v>96</v>
      </c>
      <c r="C25" s="324" t="s">
        <v>439</v>
      </c>
      <c r="D25" s="325" t="n">
        <v>51</v>
      </c>
      <c r="E25" s="325" t="n">
        <f aca="false">ROUNDDOWN(D25*0.95,0)</f>
        <v>48</v>
      </c>
      <c r="F25" s="325" t="n">
        <f aca="false">ROUNDDOWN(D25*0.9,0)</f>
        <v>45</v>
      </c>
      <c r="G25" s="326" t="n">
        <f aca="false">IF(tramo_prezo=1,D25,IF(tramo_prezo=2,E25,IF(tramo_prezo=3,F25,"error")))</f>
        <v>51</v>
      </c>
    </row>
    <row r="26" customFormat="false" ht="15" hidden="false" customHeight="false" outlineLevel="0" collapsed="false">
      <c r="A26" s="323" t="s">
        <v>139</v>
      </c>
      <c r="B26" s="323" t="s">
        <v>97</v>
      </c>
      <c r="C26" s="324" t="s">
        <v>440</v>
      </c>
      <c r="D26" s="325" t="n">
        <v>104</v>
      </c>
      <c r="E26" s="325" t="n">
        <f aca="false">ROUNDDOWN(D26*0.95,0)</f>
        <v>98</v>
      </c>
      <c r="F26" s="325" t="n">
        <f aca="false">ROUNDDOWN(D26*0.9,0)</f>
        <v>93</v>
      </c>
      <c r="G26" s="326" t="n">
        <f aca="false">IF(tramo_prezo=1,D26,IF(tramo_prezo=2,E26,IF(tramo_prezo=3,F26,"error")))</f>
        <v>104</v>
      </c>
    </row>
    <row r="27" customFormat="false" ht="15" hidden="false" customHeight="false" outlineLevel="0" collapsed="false">
      <c r="A27" s="323" t="s">
        <v>139</v>
      </c>
      <c r="B27" s="323" t="s">
        <v>101</v>
      </c>
      <c r="C27" s="324" t="s">
        <v>441</v>
      </c>
      <c r="D27" s="325" t="n">
        <v>104</v>
      </c>
      <c r="E27" s="325" t="n">
        <f aca="false">ROUNDDOWN(D27*0.95,0)</f>
        <v>98</v>
      </c>
      <c r="F27" s="325" t="n">
        <f aca="false">ROUNDDOWN(D27*0.9,0)</f>
        <v>93</v>
      </c>
      <c r="G27" s="326" t="n">
        <f aca="false">IF(tramo_prezo=1,D27,IF(tramo_prezo=2,E27,IF(tramo_prezo=3,F27,"error")))</f>
        <v>104</v>
      </c>
    </row>
    <row r="28" customFormat="false" ht="15" hidden="false" customHeight="false" outlineLevel="0" collapsed="false">
      <c r="A28" s="323" t="s">
        <v>139</v>
      </c>
      <c r="B28" s="323" t="s">
        <v>100</v>
      </c>
      <c r="C28" s="324" t="s">
        <v>442</v>
      </c>
      <c r="D28" s="325" t="n">
        <v>112</v>
      </c>
      <c r="E28" s="325" t="n">
        <f aca="false">ROUNDDOWN(D28*0.95,0)</f>
        <v>106</v>
      </c>
      <c r="F28" s="325" t="n">
        <f aca="false">ROUNDDOWN(D28*0.9,0)</f>
        <v>100</v>
      </c>
      <c r="G28" s="326" t="n">
        <f aca="false">IF(tramo_prezo=1,D28,IF(tramo_prezo=2,E28,IF(tramo_prezo=3,F28,"error")))</f>
        <v>112</v>
      </c>
    </row>
    <row r="29" customFormat="false" ht="22.5" hidden="false" customHeight="false" outlineLevel="0" collapsed="false">
      <c r="A29" s="323" t="s">
        <v>139</v>
      </c>
      <c r="B29" s="323" t="s">
        <v>70</v>
      </c>
      <c r="C29" s="324" t="s">
        <v>443</v>
      </c>
      <c r="D29" s="325" t="n">
        <v>28</v>
      </c>
      <c r="E29" s="325" t="n">
        <f aca="false">ROUNDDOWN(D29*0.95,0)</f>
        <v>26</v>
      </c>
      <c r="F29" s="325" t="n">
        <f aca="false">ROUNDDOWN(D29*0.9,0)</f>
        <v>25</v>
      </c>
      <c r="G29" s="326" t="n">
        <f aca="false">IF(tramo_prezo=1,D29,IF(tramo_prezo=2,E29,IF(tramo_prezo=3,F29,"error")))</f>
        <v>28</v>
      </c>
    </row>
    <row r="30" customFormat="false" ht="15" hidden="false" customHeight="false" outlineLevel="0" collapsed="false">
      <c r="A30" s="323" t="s">
        <v>139</v>
      </c>
      <c r="B30" s="323" t="s">
        <v>444</v>
      </c>
      <c r="C30" s="324" t="s">
        <v>445</v>
      </c>
      <c r="D30" s="325" t="n">
        <v>41</v>
      </c>
      <c r="E30" s="325" t="n">
        <f aca="false">ROUNDDOWN(D30*0.95,0)</f>
        <v>38</v>
      </c>
      <c r="F30" s="325" t="n">
        <f aca="false">ROUNDDOWN(D30*0.9,0)</f>
        <v>36</v>
      </c>
      <c r="G30" s="326" t="n">
        <f aca="false">IF(tramo_prezo=1,D30,IF(tramo_prezo=2,E30,IF(tramo_prezo=3,F30,"error")))</f>
        <v>41</v>
      </c>
    </row>
    <row r="31" customFormat="false" ht="15" hidden="false" customHeight="false" outlineLevel="0" collapsed="false">
      <c r="A31" s="323" t="s">
        <v>139</v>
      </c>
      <c r="B31" s="323" t="s">
        <v>81</v>
      </c>
      <c r="C31" s="324" t="s">
        <v>446</v>
      </c>
      <c r="D31" s="325" t="n">
        <v>181</v>
      </c>
      <c r="E31" s="325" t="n">
        <f aca="false">ROUNDDOWN(D31*0.95,0)</f>
        <v>171</v>
      </c>
      <c r="F31" s="325" t="n">
        <f aca="false">ROUNDDOWN(D31*0.9,0)</f>
        <v>162</v>
      </c>
      <c r="G31" s="326" t="n">
        <f aca="false">IF(tramo_prezo=1,D31,IF(tramo_prezo=2,E31,IF(tramo_prezo=3,F31,"error")))</f>
        <v>181</v>
      </c>
    </row>
    <row r="32" customFormat="false" ht="22.5" hidden="false" customHeight="false" outlineLevel="0" collapsed="false">
      <c r="A32" s="323" t="s">
        <v>139</v>
      </c>
      <c r="B32" s="323" t="s">
        <v>72</v>
      </c>
      <c r="C32" s="324" t="s">
        <v>447</v>
      </c>
      <c r="D32" s="325" t="n">
        <v>181</v>
      </c>
      <c r="E32" s="325" t="n">
        <f aca="false">ROUNDDOWN(D32*0.95,0)</f>
        <v>171</v>
      </c>
      <c r="F32" s="325" t="n">
        <f aca="false">ROUNDDOWN(D32*0.9,0)</f>
        <v>162</v>
      </c>
      <c r="G32" s="326" t="n">
        <f aca="false">IF(tramo_prezo=1,D32,IF(tramo_prezo=2,E32,IF(tramo_prezo=3,F32,"error")))</f>
        <v>181</v>
      </c>
    </row>
    <row r="33" customFormat="false" ht="22.5" hidden="false" customHeight="false" outlineLevel="0" collapsed="false">
      <c r="A33" s="323" t="s">
        <v>139</v>
      </c>
      <c r="B33" s="323" t="s">
        <v>448</v>
      </c>
      <c r="C33" s="324" t="s">
        <v>449</v>
      </c>
      <c r="D33" s="325" t="n">
        <v>207</v>
      </c>
      <c r="E33" s="325" t="n">
        <f aca="false">ROUNDDOWN(D33*0.95,0)</f>
        <v>196</v>
      </c>
      <c r="F33" s="325" t="n">
        <f aca="false">ROUNDDOWN(D33*0.9,0)</f>
        <v>186</v>
      </c>
      <c r="G33" s="326" t="n">
        <f aca="false">IF(tramo_prezo=1,D33,IF(tramo_prezo=2,E33,IF(tramo_prezo=3,F33,"error")))</f>
        <v>207</v>
      </c>
    </row>
    <row r="34" customFormat="false" ht="15" hidden="false" customHeight="false" outlineLevel="0" collapsed="false">
      <c r="A34" s="323" t="s">
        <v>139</v>
      </c>
      <c r="B34" s="323" t="s">
        <v>450</v>
      </c>
      <c r="C34" s="324" t="s">
        <v>451</v>
      </c>
      <c r="D34" s="325" t="n">
        <v>63</v>
      </c>
      <c r="E34" s="325" t="n">
        <f aca="false">ROUNDDOWN(D34*0.95,0)</f>
        <v>59</v>
      </c>
      <c r="F34" s="325" t="n">
        <f aca="false">ROUNDDOWN(D34*0.9,0)</f>
        <v>56</v>
      </c>
      <c r="G34" s="326" t="n">
        <f aca="false">IF(tramo_prezo=1,D34,IF(tramo_prezo=2,E34,IF(tramo_prezo=3,F34,"error")))</f>
        <v>63</v>
      </c>
    </row>
    <row r="35" customFormat="false" ht="15" hidden="false" customHeight="false" outlineLevel="0" collapsed="false">
      <c r="A35" s="323" t="s">
        <v>139</v>
      </c>
      <c r="B35" s="323" t="s">
        <v>452</v>
      </c>
      <c r="C35" s="324" t="s">
        <v>453</v>
      </c>
      <c r="D35" s="325" t="n">
        <v>63</v>
      </c>
      <c r="E35" s="325" t="n">
        <f aca="false">ROUNDDOWN(D35*0.95,0)</f>
        <v>59</v>
      </c>
      <c r="F35" s="325" t="n">
        <f aca="false">ROUNDDOWN(D35*0.9,0)</f>
        <v>56</v>
      </c>
      <c r="G35" s="326" t="n">
        <f aca="false">IF(tramo_prezo=1,D35,IF(tramo_prezo=2,E35,IF(tramo_prezo=3,F35,"error")))</f>
        <v>63</v>
      </c>
    </row>
    <row r="36" customFormat="false" ht="15" hidden="false" customHeight="false" outlineLevel="0" collapsed="false">
      <c r="A36" s="323" t="s">
        <v>139</v>
      </c>
      <c r="B36" s="323" t="s">
        <v>454</v>
      </c>
      <c r="C36" s="328" t="s">
        <v>455</v>
      </c>
      <c r="D36" s="325" t="n">
        <v>63</v>
      </c>
      <c r="E36" s="325" t="n">
        <f aca="false">ROUNDDOWN(D36*0.95,0)</f>
        <v>59</v>
      </c>
      <c r="F36" s="325" t="n">
        <f aca="false">ROUNDDOWN(D36*0.9,0)</f>
        <v>56</v>
      </c>
      <c r="G36" s="326" t="n">
        <f aca="false">IF(tramo_prezo=1,D36,IF(tramo_prezo=2,E36,IF(tramo_prezo=3,F36,"error")))</f>
        <v>63</v>
      </c>
    </row>
    <row r="37" customFormat="false" ht="15" hidden="false" customHeight="false" outlineLevel="0" collapsed="false">
      <c r="A37" s="323" t="s">
        <v>139</v>
      </c>
      <c r="B37" s="323" t="s">
        <v>103</v>
      </c>
      <c r="C37" s="324" t="s">
        <v>456</v>
      </c>
      <c r="D37" s="325" t="n">
        <v>140</v>
      </c>
      <c r="E37" s="325" t="n">
        <f aca="false">ROUNDDOWN(D37*0.95,0)</f>
        <v>133</v>
      </c>
      <c r="F37" s="325" t="n">
        <f aca="false">ROUNDDOWN(D37*0.9,0)</f>
        <v>126</v>
      </c>
      <c r="G37" s="326" t="n">
        <f aca="false">IF(tramo_prezo=1,D37,IF(tramo_prezo=2,E37,IF(tramo_prezo=3,F37,"error")))</f>
        <v>140</v>
      </c>
    </row>
    <row r="38" customFormat="false" ht="15" hidden="false" customHeight="false" outlineLevel="0" collapsed="false">
      <c r="B38" s="329"/>
      <c r="C38" s="329"/>
      <c r="D38" s="329"/>
      <c r="E38" s="329"/>
      <c r="F38" s="329"/>
      <c r="G38" s="330"/>
    </row>
    <row r="39" s="332" customFormat="true" ht="18.75" hidden="false" customHeight="false" outlineLevel="0" collapsed="false">
      <c r="A39" s="314"/>
      <c r="B39" s="315"/>
      <c r="C39" s="316" t="s">
        <v>104</v>
      </c>
      <c r="D39" s="315"/>
      <c r="E39" s="315"/>
      <c r="F39" s="315"/>
      <c r="G39" s="315"/>
      <c r="H39" s="331"/>
    </row>
    <row r="40" customFormat="false" ht="15.75" hidden="false" customHeight="false" outlineLevel="0" collapsed="false">
      <c r="A40" s="319"/>
      <c r="B40" s="319"/>
      <c r="C40" s="320" t="s">
        <v>106</v>
      </c>
      <c r="D40" s="333"/>
      <c r="E40" s="333"/>
      <c r="F40" s="333"/>
      <c r="G40" s="334"/>
      <c r="H40" s="331"/>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35"/>
      <c r="AL40" s="335"/>
      <c r="AM40" s="335"/>
      <c r="AN40" s="335"/>
      <c r="AO40" s="335"/>
      <c r="AP40" s="335"/>
      <c r="AQ40" s="335"/>
      <c r="AR40" s="335"/>
      <c r="AS40" s="335"/>
      <c r="AT40" s="335"/>
      <c r="AU40" s="335"/>
      <c r="AV40" s="335"/>
      <c r="AW40" s="335"/>
      <c r="AX40" s="335"/>
      <c r="AY40" s="335"/>
      <c r="AZ40" s="335"/>
      <c r="BA40" s="335"/>
      <c r="BB40" s="335"/>
      <c r="BC40" s="335"/>
      <c r="BD40" s="335"/>
      <c r="BE40" s="335"/>
      <c r="BF40" s="335"/>
      <c r="BG40" s="335"/>
      <c r="BH40" s="335"/>
      <c r="BI40" s="335"/>
      <c r="BJ40" s="335"/>
      <c r="BK40" s="335"/>
      <c r="BL40" s="335"/>
    </row>
    <row r="41" customFormat="false" ht="22.5" hidden="false" customHeight="false" outlineLevel="0" collapsed="false">
      <c r="A41" s="323" t="s">
        <v>139</v>
      </c>
      <c r="B41" s="323" t="s">
        <v>112</v>
      </c>
      <c r="C41" s="324" t="s">
        <v>421</v>
      </c>
      <c r="D41" s="336" t="n">
        <f aca="false">D10</f>
        <v>44</v>
      </c>
      <c r="E41" s="325" t="n">
        <f aca="false">ROUNDDOWN(D41*0.95,0)</f>
        <v>41</v>
      </c>
      <c r="F41" s="325" t="n">
        <f aca="false">ROUNDDOWN(D41*0.9,0)</f>
        <v>39</v>
      </c>
      <c r="G41" s="326" t="n">
        <f aca="false">IF(tramo_prezo=1,D41,IF(tramo_prezo=2,E41,IF(tramo_prezo=3,F41,"error")))</f>
        <v>44</v>
      </c>
    </row>
    <row r="42" customFormat="false" ht="15" hidden="false" customHeight="false" outlineLevel="0" collapsed="false">
      <c r="A42" s="323" t="s">
        <v>139</v>
      </c>
      <c r="B42" s="323" t="s">
        <v>113</v>
      </c>
      <c r="C42" s="324" t="s">
        <v>457</v>
      </c>
      <c r="D42" s="336" t="n">
        <f aca="false">D12</f>
        <v>63</v>
      </c>
      <c r="E42" s="325" t="n">
        <f aca="false">ROUNDDOWN(D42*0.95,0)</f>
        <v>59</v>
      </c>
      <c r="F42" s="325" t="n">
        <f aca="false">ROUNDDOWN(D42*0.9,0)</f>
        <v>56</v>
      </c>
      <c r="G42" s="326" t="n">
        <f aca="false">IF(tramo_prezo=1,D42,IF(tramo_prezo=2,E42,IF(tramo_prezo=3,F42,"error")))</f>
        <v>63</v>
      </c>
    </row>
    <row r="43" customFormat="false" ht="22.5" hidden="false" customHeight="false" outlineLevel="0" collapsed="false">
      <c r="A43" s="323" t="s">
        <v>139</v>
      </c>
      <c r="B43" s="323" t="s">
        <v>114</v>
      </c>
      <c r="C43" s="324" t="s">
        <v>458</v>
      </c>
      <c r="D43" s="336" t="n">
        <f aca="false">D13</f>
        <v>35</v>
      </c>
      <c r="E43" s="325" t="n">
        <f aca="false">ROUNDDOWN(D43*0.95,0)</f>
        <v>33</v>
      </c>
      <c r="F43" s="325" t="n">
        <f aca="false">ROUNDDOWN(D43*0.9,0)</f>
        <v>31</v>
      </c>
      <c r="G43" s="326" t="n">
        <f aca="false">IF(tramo_prezo=1,D43,IF(tramo_prezo=2,E43,IF(tramo_prezo=3,F43,"error")))</f>
        <v>35</v>
      </c>
    </row>
    <row r="44" customFormat="false" ht="15" hidden="false" customHeight="false" outlineLevel="0" collapsed="false">
      <c r="A44" s="323" t="s">
        <v>139</v>
      </c>
      <c r="B44" s="323" t="s">
        <v>115</v>
      </c>
      <c r="C44" s="324" t="s">
        <v>427</v>
      </c>
      <c r="D44" s="336" t="n">
        <f aca="false">D15</f>
        <v>70</v>
      </c>
      <c r="E44" s="325" t="n">
        <f aca="false">ROUNDDOWN(D44*0.95,0)</f>
        <v>66</v>
      </c>
      <c r="F44" s="325" t="n">
        <f aca="false">ROUNDDOWN(D44*0.9,0)</f>
        <v>63</v>
      </c>
      <c r="G44" s="326" t="n">
        <f aca="false">IF(tramo_prezo=1,D44,IF(tramo_prezo=2,E44,IF(tramo_prezo=3,F44,"error")))</f>
        <v>70</v>
      </c>
    </row>
    <row r="45" customFormat="false" ht="15" hidden="false" customHeight="false" outlineLevel="0" collapsed="false">
      <c r="A45" s="323" t="s">
        <v>139</v>
      </c>
      <c r="B45" s="323" t="s">
        <v>133</v>
      </c>
      <c r="C45" s="324" t="s">
        <v>428</v>
      </c>
      <c r="D45" s="336" t="n">
        <f aca="false">D16</f>
        <v>92</v>
      </c>
      <c r="E45" s="325" t="n">
        <f aca="false">ROUNDDOWN(D45*0.95,0)</f>
        <v>87</v>
      </c>
      <c r="F45" s="325" t="n">
        <f aca="false">ROUNDDOWN(D45*0.9,0)</f>
        <v>82</v>
      </c>
      <c r="G45" s="326" t="n">
        <f aca="false">IF(tramo_prezo=1,D45,IF(tramo_prezo=2,E45,IF(tramo_prezo=3,F45,"error")))</f>
        <v>92</v>
      </c>
    </row>
    <row r="46" customFormat="false" ht="15" hidden="false" customHeight="false" outlineLevel="0" collapsed="false">
      <c r="A46" s="323" t="s">
        <v>139</v>
      </c>
      <c r="B46" s="323" t="s">
        <v>459</v>
      </c>
      <c r="C46" s="324" t="s">
        <v>430</v>
      </c>
      <c r="D46" s="336" t="n">
        <f aca="false">D17</f>
        <v>64</v>
      </c>
      <c r="E46" s="325" t="n">
        <f aca="false">ROUNDDOWN(D46*0.95,0)</f>
        <v>60</v>
      </c>
      <c r="F46" s="325" t="n">
        <f aca="false">ROUNDDOWN(D46*0.9,0)</f>
        <v>57</v>
      </c>
      <c r="G46" s="326" t="n">
        <f aca="false">IF(tramo_prezo=1,D46,IF(tramo_prezo=2,E46,IF(tramo_prezo=3,F46,"error")))</f>
        <v>64</v>
      </c>
    </row>
    <row r="47" customFormat="false" ht="15" hidden="false" customHeight="false" outlineLevel="0" collapsed="false">
      <c r="A47" s="323" t="s">
        <v>139</v>
      </c>
      <c r="B47" s="323" t="s">
        <v>122</v>
      </c>
      <c r="C47" s="324" t="s">
        <v>432</v>
      </c>
      <c r="D47" s="336" t="n">
        <f aca="false">D19</f>
        <v>83</v>
      </c>
      <c r="E47" s="325" t="n">
        <f aca="false">ROUNDDOWN(D47*0.95,0)</f>
        <v>78</v>
      </c>
      <c r="F47" s="325" t="n">
        <f aca="false">ROUNDDOWN(D47*0.9,0)</f>
        <v>74</v>
      </c>
      <c r="G47" s="326" t="n">
        <f aca="false">IF(tramo_prezo=1,D47,IF(tramo_prezo=2,E47,IF(tramo_prezo=3,F47,"error")))</f>
        <v>83</v>
      </c>
    </row>
    <row r="48" customFormat="false" ht="22.5" hidden="false" customHeight="false" outlineLevel="0" collapsed="false">
      <c r="A48" s="323" t="s">
        <v>139</v>
      </c>
      <c r="B48" s="323" t="s">
        <v>460</v>
      </c>
      <c r="C48" s="324" t="s">
        <v>434</v>
      </c>
      <c r="D48" s="336" t="n">
        <f aca="false">D20</f>
        <v>145</v>
      </c>
      <c r="E48" s="325" t="n">
        <f aca="false">ROUNDDOWN(D48*0.95,0)</f>
        <v>137</v>
      </c>
      <c r="F48" s="325" t="n">
        <f aca="false">ROUNDDOWN(D48*0.9,0)</f>
        <v>130</v>
      </c>
      <c r="G48" s="326" t="n">
        <f aca="false">IF(tramo_prezo=1,D48,IF(tramo_prezo=2,E48,IF(tramo_prezo=3,F48,"error")))</f>
        <v>145</v>
      </c>
    </row>
    <row r="49" customFormat="false" ht="15" hidden="false" customHeight="false" outlineLevel="0" collapsed="false">
      <c r="A49" s="323" t="s">
        <v>139</v>
      </c>
      <c r="B49" s="323" t="s">
        <v>116</v>
      </c>
      <c r="C49" s="324" t="s">
        <v>435</v>
      </c>
      <c r="D49" s="336" t="n">
        <f aca="false">D21</f>
        <v>83</v>
      </c>
      <c r="E49" s="325" t="n">
        <f aca="false">ROUNDDOWN(D49*0.95,0)</f>
        <v>78</v>
      </c>
      <c r="F49" s="325" t="n">
        <f aca="false">ROUNDDOWN(D49*0.9,0)</f>
        <v>74</v>
      </c>
      <c r="G49" s="326" t="n">
        <f aca="false">IF(tramo_prezo=1,D49,IF(tramo_prezo=2,E49,IF(tramo_prezo=3,F49,"error")))</f>
        <v>83</v>
      </c>
    </row>
    <row r="50" customFormat="false" ht="15" hidden="false" customHeight="false" outlineLevel="0" collapsed="false">
      <c r="A50" s="323" t="s">
        <v>139</v>
      </c>
      <c r="B50" s="323" t="s">
        <v>117</v>
      </c>
      <c r="C50" s="324" t="s">
        <v>436</v>
      </c>
      <c r="D50" s="336" t="n">
        <f aca="false">D22</f>
        <v>78</v>
      </c>
      <c r="E50" s="325" t="n">
        <f aca="false">ROUNDDOWN(D50*0.95,0)</f>
        <v>74</v>
      </c>
      <c r="F50" s="325" t="n">
        <f aca="false">ROUNDDOWN(D50*0.9,0)</f>
        <v>70</v>
      </c>
      <c r="G50" s="326" t="n">
        <f aca="false">IF(tramo_prezo=1,D50,IF(tramo_prezo=2,E50,IF(tramo_prezo=3,F50,"error")))</f>
        <v>78</v>
      </c>
    </row>
    <row r="51" customFormat="false" ht="15" hidden="false" customHeight="false" outlineLevel="0" collapsed="false">
      <c r="A51" s="323" t="s">
        <v>139</v>
      </c>
      <c r="B51" s="323" t="s">
        <v>152</v>
      </c>
      <c r="C51" s="324" t="s">
        <v>461</v>
      </c>
      <c r="D51" s="336" t="n">
        <f aca="false">D26</f>
        <v>104</v>
      </c>
      <c r="E51" s="325" t="n">
        <f aca="false">ROUNDDOWN(D51*0.95,0)</f>
        <v>98</v>
      </c>
      <c r="F51" s="325" t="n">
        <f aca="false">ROUNDDOWN(D51*0.9,0)</f>
        <v>93</v>
      </c>
      <c r="G51" s="326" t="n">
        <f aca="false">IF(tramo_prezo=1,D51,IF(tramo_prezo=2,E51,IF(tramo_prezo=3,F51,"error")))</f>
        <v>104</v>
      </c>
    </row>
    <row r="52" customFormat="false" ht="15" hidden="false" customHeight="false" outlineLevel="0" collapsed="false">
      <c r="A52" s="323" t="s">
        <v>139</v>
      </c>
      <c r="B52" s="323" t="s">
        <v>153</v>
      </c>
      <c r="C52" s="324" t="s">
        <v>462</v>
      </c>
      <c r="D52" s="336" t="n">
        <f aca="false">D25</f>
        <v>51</v>
      </c>
      <c r="E52" s="325" t="n">
        <f aca="false">ROUNDDOWN(D52*0.95,0)</f>
        <v>48</v>
      </c>
      <c r="F52" s="325" t="n">
        <f aca="false">ROUNDDOWN(D52*0.9,0)</f>
        <v>45</v>
      </c>
      <c r="G52" s="326" t="n">
        <f aca="false">IF(tramo_prezo=1,D52,IF(tramo_prezo=2,E52,IF(tramo_prezo=3,F52,"error")))</f>
        <v>51</v>
      </c>
    </row>
    <row r="53" customFormat="false" ht="15" hidden="false" customHeight="false" outlineLevel="0" collapsed="false">
      <c r="A53" s="323" t="s">
        <v>139</v>
      </c>
      <c r="B53" s="323" t="s">
        <v>154</v>
      </c>
      <c r="C53" s="324" t="s">
        <v>463</v>
      </c>
      <c r="D53" s="336" t="n">
        <v>66</v>
      </c>
      <c r="E53" s="325" t="n">
        <f aca="false">ROUNDDOWN(D53*0.95,0)</f>
        <v>62</v>
      </c>
      <c r="F53" s="325" t="n">
        <f aca="false">ROUNDDOWN(D53*0.9,0)</f>
        <v>59</v>
      </c>
      <c r="G53" s="326" t="n">
        <f aca="false">IF(tramo_prezo=1,D53,IF(tramo_prezo=2,E53,IF(tramo_prezo=3,F53,"error")))</f>
        <v>66</v>
      </c>
    </row>
    <row r="54" customFormat="false" ht="15" hidden="false" customHeight="false" outlineLevel="0" collapsed="false">
      <c r="A54" s="323" t="s">
        <v>139</v>
      </c>
      <c r="B54" s="323" t="s">
        <v>155</v>
      </c>
      <c r="C54" s="324" t="s">
        <v>464</v>
      </c>
      <c r="D54" s="336" t="n">
        <v>35</v>
      </c>
      <c r="E54" s="325" t="n">
        <f aca="false">ROUNDDOWN(D54*0.95,0)</f>
        <v>33</v>
      </c>
      <c r="F54" s="325" t="n">
        <f aca="false">ROUNDDOWN(D54*0.9,0)</f>
        <v>31</v>
      </c>
      <c r="G54" s="326" t="n">
        <f aca="false">IF(tramo_prezo=1,D54,IF(tramo_prezo=2,E54,IF(tramo_prezo=3,F54,"error")))</f>
        <v>35</v>
      </c>
    </row>
    <row r="55" customFormat="false" ht="15" hidden="false" customHeight="false" outlineLevel="0" collapsed="false">
      <c r="A55" s="323" t="s">
        <v>139</v>
      </c>
      <c r="B55" s="323" t="s">
        <v>128</v>
      </c>
      <c r="C55" s="324" t="s">
        <v>465</v>
      </c>
      <c r="D55" s="336" t="n">
        <v>16</v>
      </c>
      <c r="E55" s="325" t="n">
        <f aca="false">ROUNDDOWN(D55*0.95,0)</f>
        <v>15</v>
      </c>
      <c r="F55" s="325" t="n">
        <f aca="false">ROUNDDOWN(D55*0.9,0)</f>
        <v>14</v>
      </c>
      <c r="G55" s="326" t="n">
        <f aca="false">IF(tramo_prezo=1,D55,IF(tramo_prezo=2,E55,IF(tramo_prezo=3,F55,"error")))</f>
        <v>16</v>
      </c>
    </row>
    <row r="56" customFormat="false" ht="15" hidden="false" customHeight="false" outlineLevel="0" collapsed="false">
      <c r="A56" s="323" t="s">
        <v>139</v>
      </c>
      <c r="B56" s="323" t="s">
        <v>156</v>
      </c>
      <c r="C56" s="324" t="s">
        <v>466</v>
      </c>
      <c r="D56" s="336" t="n">
        <v>283</v>
      </c>
      <c r="E56" s="325" t="n">
        <f aca="false">ROUNDDOWN(D56*0.95,0)</f>
        <v>268</v>
      </c>
      <c r="F56" s="325" t="n">
        <f aca="false">ROUNDDOWN(D56*0.9,0)</f>
        <v>254</v>
      </c>
      <c r="G56" s="326" t="n">
        <f aca="false">IF(tramo_prezo=1,D56,IF(tramo_prezo=2,E56,IF(tramo_prezo=3,F56,"error")))</f>
        <v>283</v>
      </c>
    </row>
    <row r="57" customFormat="false" ht="15" hidden="false" customHeight="false" outlineLevel="0" collapsed="false">
      <c r="A57" s="323" t="s">
        <v>139</v>
      </c>
      <c r="B57" s="323" t="s">
        <v>157</v>
      </c>
      <c r="C57" s="324" t="s">
        <v>467</v>
      </c>
      <c r="D57" s="336" t="n">
        <v>40</v>
      </c>
      <c r="E57" s="325" t="n">
        <f aca="false">ROUNDDOWN(D57*0.95,0)</f>
        <v>38</v>
      </c>
      <c r="F57" s="325" t="n">
        <f aca="false">ROUNDDOWN(D57*0.9,0)</f>
        <v>36</v>
      </c>
      <c r="G57" s="326" t="n">
        <f aca="false">IF(tramo_prezo=1,D57,IF(tramo_prezo=2,E57,IF(tramo_prezo=3,F57,"error")))</f>
        <v>40</v>
      </c>
    </row>
    <row r="58" customFormat="false" ht="15" hidden="false" customHeight="false" outlineLevel="0" collapsed="false">
      <c r="A58" s="323" t="s">
        <v>139</v>
      </c>
      <c r="B58" s="323" t="s">
        <v>171</v>
      </c>
      <c r="C58" s="324" t="s">
        <v>468</v>
      </c>
      <c r="D58" s="336" t="n">
        <v>353</v>
      </c>
      <c r="E58" s="325" t="n">
        <f aca="false">ROUNDDOWN(D58*0.95,0)</f>
        <v>335</v>
      </c>
      <c r="F58" s="325" t="n">
        <f aca="false">ROUNDDOWN(D58*0.9,0)</f>
        <v>317</v>
      </c>
      <c r="G58" s="326" t="n">
        <f aca="false">IF(tramo_prezo=1,D58,IF(tramo_prezo=2,E58,IF(tramo_prezo=3,F58,"error")))</f>
        <v>353</v>
      </c>
    </row>
    <row r="59" customFormat="false" ht="15" hidden="false" customHeight="false" outlineLevel="0" collapsed="false">
      <c r="A59" s="323" t="s">
        <v>139</v>
      </c>
      <c r="B59" s="323" t="s">
        <v>186</v>
      </c>
      <c r="C59" s="324" t="s">
        <v>469</v>
      </c>
      <c r="D59" s="336" t="n">
        <v>35</v>
      </c>
      <c r="E59" s="325" t="n">
        <f aca="false">ROUNDDOWN(D59*0.95,0)</f>
        <v>33</v>
      </c>
      <c r="F59" s="325" t="n">
        <f aca="false">ROUNDDOWN(D59*0.9,0)</f>
        <v>31</v>
      </c>
      <c r="G59" s="326" t="n">
        <f aca="false">IF(tramo_prezo=1,D59,IF(tramo_prezo=2,E59,IF(tramo_prezo=3,F59,"error")))</f>
        <v>35</v>
      </c>
    </row>
    <row r="60" customFormat="false" ht="15" hidden="false" customHeight="false" outlineLevel="0" collapsed="false">
      <c r="A60" s="323" t="s">
        <v>139</v>
      </c>
      <c r="B60" s="323" t="s">
        <v>121</v>
      </c>
      <c r="C60" s="324" t="s">
        <v>470</v>
      </c>
      <c r="D60" s="336" t="n">
        <v>180</v>
      </c>
      <c r="E60" s="325" t="n">
        <f aca="false">ROUNDDOWN(D60*0.95,0)</f>
        <v>171</v>
      </c>
      <c r="F60" s="325" t="n">
        <f aca="false">ROUNDDOWN(D60*0.9,0)</f>
        <v>162</v>
      </c>
      <c r="G60" s="326" t="n">
        <f aca="false">IF(tramo_prezo=1,D60,IF(tramo_prezo=2,E60,IF(tramo_prezo=3,F60,"error")))</f>
        <v>180</v>
      </c>
    </row>
    <row r="61" customFormat="false" ht="22.5" hidden="false" customHeight="false" outlineLevel="0" collapsed="false">
      <c r="A61" s="323" t="s">
        <v>139</v>
      </c>
      <c r="B61" s="323" t="s">
        <v>124</v>
      </c>
      <c r="C61" s="324" t="s">
        <v>471</v>
      </c>
      <c r="D61" s="336" t="n">
        <v>125</v>
      </c>
      <c r="E61" s="325" t="n">
        <f aca="false">ROUNDDOWN(D61*0.95,0)</f>
        <v>118</v>
      </c>
      <c r="F61" s="325" t="n">
        <f aca="false">ROUNDDOWN(D61*0.9,0)</f>
        <v>112</v>
      </c>
      <c r="G61" s="326" t="n">
        <f aca="false">IF(tramo_prezo=1,D61,IF(tramo_prezo=2,E61,IF(tramo_prezo=3,F61,"error")))</f>
        <v>125</v>
      </c>
    </row>
    <row r="62" customFormat="false" ht="22.5" hidden="false" customHeight="false" outlineLevel="0" collapsed="false">
      <c r="A62" s="323" t="s">
        <v>139</v>
      </c>
      <c r="B62" s="323" t="s">
        <v>472</v>
      </c>
      <c r="C62" s="324" t="s">
        <v>443</v>
      </c>
      <c r="D62" s="336" t="n">
        <f aca="false">D29</f>
        <v>28</v>
      </c>
      <c r="E62" s="325" t="n">
        <f aca="false">ROUNDDOWN(D62*0.95,0)</f>
        <v>26</v>
      </c>
      <c r="F62" s="325" t="n">
        <f aca="false">ROUNDDOWN(D62*0.9,0)</f>
        <v>25</v>
      </c>
      <c r="G62" s="326" t="n">
        <f aca="false">IF(tramo_prezo=1,D62,IF(tramo_prezo=2,E62,IF(tramo_prezo=3,F62,"error")))</f>
        <v>28</v>
      </c>
    </row>
    <row r="63" customFormat="false" ht="15" hidden="false" customHeight="false" outlineLevel="0" collapsed="false">
      <c r="A63" s="323" t="s">
        <v>139</v>
      </c>
      <c r="B63" s="323" t="s">
        <v>473</v>
      </c>
      <c r="C63" s="324" t="s">
        <v>445</v>
      </c>
      <c r="D63" s="336" t="n">
        <f aca="false">D30</f>
        <v>41</v>
      </c>
      <c r="E63" s="325" t="n">
        <f aca="false">ROUNDDOWN(D63*0.95,0)</f>
        <v>38</v>
      </c>
      <c r="F63" s="325" t="n">
        <f aca="false">ROUNDDOWN(D63*0.9,0)</f>
        <v>36</v>
      </c>
      <c r="G63" s="326" t="n">
        <f aca="false">IF(tramo_prezo=1,D63,IF(tramo_prezo=2,E63,IF(tramo_prezo=3,F63,"error")))</f>
        <v>41</v>
      </c>
    </row>
    <row r="64" customFormat="false" ht="22.5" hidden="false" customHeight="false" outlineLevel="0" collapsed="false">
      <c r="A64" s="323" t="s">
        <v>139</v>
      </c>
      <c r="B64" s="323" t="s">
        <v>474</v>
      </c>
      <c r="C64" s="324" t="s">
        <v>447</v>
      </c>
      <c r="D64" s="336" t="n">
        <f aca="false">D32</f>
        <v>181</v>
      </c>
      <c r="E64" s="325" t="n">
        <f aca="false">ROUNDDOWN(D64*0.95,0)</f>
        <v>171</v>
      </c>
      <c r="F64" s="325" t="n">
        <f aca="false">ROUNDDOWN(D64*0.9,0)</f>
        <v>162</v>
      </c>
      <c r="G64" s="326" t="n">
        <f aca="false">IF(tramo_prezo=1,D64,IF(tramo_prezo=2,E64,IF(tramo_prezo=3,F64,"error")))</f>
        <v>181</v>
      </c>
    </row>
    <row r="65" customFormat="false" ht="15" hidden="false" customHeight="false" outlineLevel="0" collapsed="false">
      <c r="A65" s="323" t="s">
        <v>139</v>
      </c>
      <c r="B65" s="323" t="s">
        <v>475</v>
      </c>
      <c r="C65" s="324" t="s">
        <v>451</v>
      </c>
      <c r="D65" s="336" t="n">
        <f aca="false">D34</f>
        <v>63</v>
      </c>
      <c r="E65" s="325" t="n">
        <f aca="false">ROUNDDOWN(D65*0.95,0)</f>
        <v>59</v>
      </c>
      <c r="F65" s="325" t="n">
        <f aca="false">ROUNDDOWN(D65*0.9,0)</f>
        <v>56</v>
      </c>
      <c r="G65" s="326" t="n">
        <f aca="false">IF(tramo_prezo=1,D65,IF(tramo_prezo=2,E65,IF(tramo_prezo=3,F65,"error")))</f>
        <v>63</v>
      </c>
    </row>
    <row r="66" customFormat="false" ht="15" hidden="false" customHeight="false" outlineLevel="0" collapsed="false">
      <c r="A66" s="323" t="s">
        <v>139</v>
      </c>
      <c r="B66" s="323" t="s">
        <v>476</v>
      </c>
      <c r="C66" s="324" t="s">
        <v>453</v>
      </c>
      <c r="D66" s="336" t="n">
        <f aca="false">D35</f>
        <v>63</v>
      </c>
      <c r="E66" s="325" t="n">
        <f aca="false">ROUNDDOWN(D66*0.95,0)</f>
        <v>59</v>
      </c>
      <c r="F66" s="325" t="n">
        <f aca="false">ROUNDDOWN(D66*0.9,0)</f>
        <v>56</v>
      </c>
      <c r="G66" s="326" t="n">
        <f aca="false">IF(tramo_prezo=1,D66,IF(tramo_prezo=2,E66,IF(tramo_prezo=3,F66,"error")))</f>
        <v>63</v>
      </c>
    </row>
    <row r="67" customFormat="false" ht="15" hidden="false" customHeight="false" outlineLevel="0" collapsed="false">
      <c r="A67" s="323" t="s">
        <v>139</v>
      </c>
      <c r="B67" s="323" t="s">
        <v>477</v>
      </c>
      <c r="C67" s="328" t="s">
        <v>455</v>
      </c>
      <c r="D67" s="336" t="n">
        <f aca="false">D36</f>
        <v>63</v>
      </c>
      <c r="E67" s="325" t="n">
        <f aca="false">ROUNDDOWN(D67*0.95,0)</f>
        <v>59</v>
      </c>
      <c r="F67" s="325" t="n">
        <f aca="false">ROUNDDOWN(D67*0.9,0)</f>
        <v>56</v>
      </c>
      <c r="G67" s="326" t="n">
        <f aca="false">IF(tramo_prezo=1,D67,IF(tramo_prezo=2,E67,IF(tramo_prezo=3,F67,"error")))</f>
        <v>63</v>
      </c>
    </row>
    <row r="68" customFormat="false" ht="22.5" hidden="false" customHeight="false" outlineLevel="0" collapsed="false">
      <c r="A68" s="323" t="s">
        <v>139</v>
      </c>
      <c r="B68" s="323" t="s">
        <v>179</v>
      </c>
      <c r="C68" s="324" t="s">
        <v>478</v>
      </c>
      <c r="D68" s="336" t="n">
        <v>69</v>
      </c>
      <c r="E68" s="325" t="n">
        <f aca="false">ROUNDDOWN(D68*0.95,0)</f>
        <v>65</v>
      </c>
      <c r="F68" s="325" t="n">
        <f aca="false">ROUNDDOWN(D68*0.9,0)</f>
        <v>62</v>
      </c>
      <c r="G68" s="326" t="n">
        <f aca="false">IF(tramo_prezo=1,D68,IF(tramo_prezo=2,E68,IF(tramo_prezo=3,F68,"error")))</f>
        <v>69</v>
      </c>
    </row>
    <row r="69" customFormat="false" ht="33.75" hidden="false" customHeight="false" outlineLevel="0" collapsed="false">
      <c r="A69" s="323" t="s">
        <v>139</v>
      </c>
      <c r="B69" s="323" t="s">
        <v>138</v>
      </c>
      <c r="C69" s="324" t="s">
        <v>479</v>
      </c>
      <c r="D69" s="336" t="n">
        <v>2530</v>
      </c>
      <c r="E69" s="325" t="n">
        <f aca="false">ROUNDDOWN(D69*0.95,0)</f>
        <v>2403</v>
      </c>
      <c r="F69" s="325" t="n">
        <f aca="false">ROUNDDOWN(D69*0.9,0)</f>
        <v>2277</v>
      </c>
      <c r="G69" s="326" t="n">
        <f aca="false">IF(tramo_prezo=1,D69,IF(tramo_prezo=2,E69,IF(tramo_prezo=3,F69,"error")))</f>
        <v>2530</v>
      </c>
    </row>
    <row r="70" customFormat="false" ht="15" hidden="false" customHeight="false" outlineLevel="0" collapsed="false">
      <c r="A70" s="323" t="s">
        <v>480</v>
      </c>
      <c r="B70" s="323" t="s">
        <v>141</v>
      </c>
      <c r="C70" s="324" t="s">
        <v>481</v>
      </c>
      <c r="D70" s="336" t="n">
        <v>17</v>
      </c>
      <c r="E70" s="325" t="n">
        <f aca="false">ROUNDDOWN(D70*0.95,0)</f>
        <v>16</v>
      </c>
      <c r="F70" s="325" t="n">
        <f aca="false">ROUNDDOWN(D70*0.9,0)</f>
        <v>15</v>
      </c>
      <c r="G70" s="326" t="n">
        <f aca="false">IF(tramo_prezo=1,D70,IF(tramo_prezo=2,E70,IF(tramo_prezo=3,F70,"error")))</f>
        <v>17</v>
      </c>
    </row>
    <row r="71" customFormat="false" ht="22.5" hidden="false" customHeight="false" outlineLevel="0" collapsed="false">
      <c r="A71" s="323" t="s">
        <v>139</v>
      </c>
      <c r="B71" s="323" t="s">
        <v>142</v>
      </c>
      <c r="C71" s="324" t="s">
        <v>482</v>
      </c>
      <c r="D71" s="336" t="n">
        <v>1208</v>
      </c>
      <c r="E71" s="325" t="n">
        <f aca="false">ROUNDDOWN(D71*0.95,0)</f>
        <v>1147</v>
      </c>
      <c r="F71" s="325" t="n">
        <f aca="false">ROUNDDOWN(D71*0.9,0)</f>
        <v>1087</v>
      </c>
      <c r="G71" s="326" t="n">
        <f aca="false">IF(tramo_prezo=1,D71,IF(tramo_prezo=2,E71,IF(tramo_prezo=3,F71,"error")))</f>
        <v>1208</v>
      </c>
    </row>
    <row r="72" customFormat="false" ht="33.75" hidden="false" customHeight="false" outlineLevel="0" collapsed="false">
      <c r="A72" s="323" t="s">
        <v>139</v>
      </c>
      <c r="B72" s="323" t="s">
        <v>145</v>
      </c>
      <c r="C72" s="324" t="s">
        <v>483</v>
      </c>
      <c r="D72" s="336" t="n">
        <v>3500</v>
      </c>
      <c r="E72" s="325" t="n">
        <f aca="false">ROUNDDOWN(D72*0.95,0)</f>
        <v>3325</v>
      </c>
      <c r="F72" s="325" t="n">
        <f aca="false">ROUNDDOWN(D72*0.9,0)</f>
        <v>3150</v>
      </c>
      <c r="G72" s="326" t="n">
        <f aca="false">IF(tramo_prezo=1,D72,IF(tramo_prezo=2,E72,IF(tramo_prezo=3,F72,"error")))</f>
        <v>3500</v>
      </c>
    </row>
    <row r="73" customFormat="false" ht="22.5" hidden="false" customHeight="false" outlineLevel="0" collapsed="false">
      <c r="A73" s="323" t="s">
        <v>480</v>
      </c>
      <c r="B73" s="323" t="s">
        <v>147</v>
      </c>
      <c r="C73" s="324" t="s">
        <v>484</v>
      </c>
      <c r="D73" s="336" t="n">
        <v>150</v>
      </c>
      <c r="E73" s="325" t="n">
        <f aca="false">ROUNDDOWN(D73*0.95,0)</f>
        <v>142</v>
      </c>
      <c r="F73" s="325" t="n">
        <f aca="false">ROUNDDOWN(D73*0.9,0)</f>
        <v>135</v>
      </c>
      <c r="G73" s="326" t="n">
        <f aca="false">IF(tramo_prezo=1,D73,IF(tramo_prezo=2,E73,IF(tramo_prezo=3,F73,"error")))</f>
        <v>150</v>
      </c>
    </row>
    <row r="74" customFormat="false" ht="22.5" hidden="false" customHeight="false" outlineLevel="0" collapsed="false">
      <c r="A74" s="323" t="s">
        <v>480</v>
      </c>
      <c r="B74" s="323" t="s">
        <v>485</v>
      </c>
      <c r="C74" s="324" t="s">
        <v>486</v>
      </c>
      <c r="D74" s="336" t="n">
        <v>75</v>
      </c>
      <c r="E74" s="325" t="n">
        <f aca="false">ROUNDDOWN(D74*0.95,0)</f>
        <v>71</v>
      </c>
      <c r="F74" s="325" t="n">
        <f aca="false">ROUNDDOWN(D74*0.9,0)</f>
        <v>67</v>
      </c>
      <c r="G74" s="326" t="n">
        <f aca="false">IF(tramo_prezo=1,D74,IF(tramo_prezo=2,E74,IF(tramo_prezo=3,F74,"error")))</f>
        <v>75</v>
      </c>
    </row>
    <row r="75" customFormat="false" ht="22.5" hidden="false" customHeight="false" outlineLevel="0" collapsed="false">
      <c r="A75" s="323" t="s">
        <v>480</v>
      </c>
      <c r="B75" s="323" t="s">
        <v>487</v>
      </c>
      <c r="C75" s="324" t="s">
        <v>488</v>
      </c>
      <c r="D75" s="336" t="n">
        <v>55</v>
      </c>
      <c r="E75" s="325" t="n">
        <f aca="false">ROUNDDOWN(D75*0.95,0)</f>
        <v>52</v>
      </c>
      <c r="F75" s="325" t="n">
        <f aca="false">ROUNDDOWN(D75*0.9,0)</f>
        <v>49</v>
      </c>
      <c r="G75" s="326" t="n">
        <f aca="false">IF(tramo_prezo=1,D75,IF(tramo_prezo=2,E75,IF(tramo_prezo=3,F75,"error")))</f>
        <v>55</v>
      </c>
    </row>
    <row r="76" customFormat="false" ht="15" hidden="false" customHeight="false" outlineLevel="0" collapsed="false">
      <c r="D76" s="329"/>
      <c r="E76" s="329"/>
      <c r="F76" s="329"/>
      <c r="G76" s="330"/>
    </row>
    <row r="77" customFormat="false" ht="15.75" hidden="false" customHeight="false" outlineLevel="0" collapsed="false">
      <c r="A77" s="319"/>
      <c r="B77" s="319"/>
      <c r="C77" s="320" t="s">
        <v>192</v>
      </c>
      <c r="D77" s="333"/>
      <c r="E77" s="333"/>
      <c r="F77" s="333"/>
      <c r="G77" s="334"/>
      <c r="H77" s="331"/>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35"/>
      <c r="AL77" s="335"/>
      <c r="AM77" s="335"/>
      <c r="AN77" s="335"/>
      <c r="AO77" s="335"/>
      <c r="AP77" s="335"/>
      <c r="AQ77" s="335"/>
      <c r="AR77" s="335"/>
      <c r="AS77" s="335"/>
      <c r="AT77" s="335"/>
      <c r="AU77" s="335"/>
      <c r="AV77" s="335"/>
      <c r="AW77" s="335"/>
      <c r="AX77" s="335"/>
      <c r="AY77" s="335"/>
      <c r="AZ77" s="335"/>
      <c r="BA77" s="335"/>
      <c r="BB77" s="335"/>
      <c r="BC77" s="335"/>
      <c r="BD77" s="335"/>
      <c r="BE77" s="335"/>
      <c r="BF77" s="335"/>
      <c r="BG77" s="335"/>
      <c r="BH77" s="335"/>
      <c r="BI77" s="335"/>
      <c r="BJ77" s="335"/>
      <c r="BK77" s="335"/>
      <c r="BL77" s="335"/>
    </row>
    <row r="78" customFormat="false" ht="15" hidden="false" customHeight="false" outlineLevel="0" collapsed="false">
      <c r="A78" s="319"/>
      <c r="B78" s="319"/>
      <c r="C78" s="337" t="s">
        <v>489</v>
      </c>
      <c r="D78" s="333"/>
      <c r="E78" s="333"/>
      <c r="F78" s="333"/>
      <c r="G78" s="334"/>
      <c r="H78" s="331"/>
      <c r="I78" s="335"/>
      <c r="J78" s="335"/>
      <c r="K78" s="335"/>
      <c r="L78" s="335"/>
      <c r="M78" s="335"/>
      <c r="N78" s="335"/>
      <c r="O78" s="335"/>
      <c r="P78" s="335"/>
      <c r="Q78" s="335"/>
      <c r="R78" s="335"/>
      <c r="S78" s="335"/>
      <c r="T78" s="335"/>
      <c r="U78" s="335"/>
      <c r="V78" s="335"/>
      <c r="W78" s="335"/>
      <c r="X78" s="335"/>
      <c r="Y78" s="335"/>
      <c r="Z78" s="335"/>
      <c r="AA78" s="335"/>
      <c r="AB78" s="335"/>
      <c r="AC78" s="335"/>
      <c r="AD78" s="335"/>
      <c r="AE78" s="335"/>
      <c r="AF78" s="335"/>
      <c r="AG78" s="335"/>
      <c r="AH78" s="335"/>
      <c r="AI78" s="335"/>
      <c r="AJ78" s="335"/>
      <c r="AK78" s="335"/>
      <c r="AL78" s="335"/>
      <c r="AM78" s="335"/>
      <c r="AN78" s="335"/>
      <c r="AO78" s="335"/>
      <c r="AP78" s="335"/>
      <c r="AQ78" s="335"/>
      <c r="AR78" s="335"/>
      <c r="AS78" s="335"/>
      <c r="AT78" s="335"/>
      <c r="AU78" s="335"/>
      <c r="AV78" s="335"/>
      <c r="AW78" s="335"/>
      <c r="AX78" s="335"/>
      <c r="AY78" s="335"/>
      <c r="AZ78" s="335"/>
      <c r="BA78" s="335"/>
      <c r="BB78" s="335"/>
      <c r="BC78" s="335"/>
      <c r="BD78" s="335"/>
      <c r="BE78" s="335"/>
      <c r="BF78" s="335"/>
      <c r="BG78" s="335"/>
      <c r="BH78" s="335"/>
      <c r="BI78" s="335"/>
      <c r="BJ78" s="335"/>
      <c r="BK78" s="335"/>
      <c r="BL78" s="335"/>
    </row>
    <row r="79" customFormat="false" ht="15" hidden="false" customHeight="false" outlineLevel="0" collapsed="false">
      <c r="A79" s="323" t="s">
        <v>139</v>
      </c>
      <c r="B79" s="323" t="s">
        <v>490</v>
      </c>
      <c r="C79" s="324" t="s">
        <v>461</v>
      </c>
      <c r="D79" s="336" t="n">
        <f aca="false">D26</f>
        <v>104</v>
      </c>
      <c r="E79" s="325" t="n">
        <f aca="false">ROUNDDOWN(D79*0.95,0)</f>
        <v>98</v>
      </c>
      <c r="F79" s="325" t="n">
        <f aca="false">ROUNDDOWN(D79*0.9,0)</f>
        <v>93</v>
      </c>
      <c r="G79" s="326" t="n">
        <f aca="false">IF(tramo_prezo=1,D79,IF(tramo_prezo=2,E79,IF(tramo_prezo=3,F79,"error")))</f>
        <v>104</v>
      </c>
    </row>
    <row r="80" customFormat="false" ht="15" hidden="false" customHeight="false" outlineLevel="0" collapsed="false">
      <c r="A80" s="323" t="s">
        <v>139</v>
      </c>
      <c r="B80" s="323" t="s">
        <v>214</v>
      </c>
      <c r="C80" s="324" t="s">
        <v>491</v>
      </c>
      <c r="D80" s="336" t="n">
        <v>644</v>
      </c>
      <c r="E80" s="325" t="n">
        <f aca="false">ROUNDDOWN(D80*0.95,0)</f>
        <v>611</v>
      </c>
      <c r="F80" s="325" t="n">
        <f aca="false">ROUNDDOWN(D80*0.9,0)</f>
        <v>579</v>
      </c>
      <c r="G80" s="326" t="n">
        <f aca="false">IF(tramo_prezo=1,D80,IF(tramo_prezo=2,E80,IF(tramo_prezo=3,F80,"error")))</f>
        <v>644</v>
      </c>
    </row>
    <row r="81" customFormat="false" ht="15" hidden="false" customHeight="false" outlineLevel="0" collapsed="false">
      <c r="A81" s="323" t="s">
        <v>139</v>
      </c>
      <c r="B81" s="323" t="s">
        <v>215</v>
      </c>
      <c r="C81" s="324" t="s">
        <v>492</v>
      </c>
      <c r="D81" s="336" t="n">
        <v>50</v>
      </c>
      <c r="E81" s="325" t="n">
        <f aca="false">ROUNDDOWN(D81*0.95,0)</f>
        <v>47</v>
      </c>
      <c r="F81" s="325" t="n">
        <f aca="false">ROUNDDOWN(D81*0.9,0)</f>
        <v>45</v>
      </c>
      <c r="G81" s="326" t="n">
        <f aca="false">IF(tramo_prezo=1,D81,IF(tramo_prezo=2,E81,IF(tramo_prezo=3,F81,"error")))</f>
        <v>50</v>
      </c>
    </row>
    <row r="82" customFormat="false" ht="22.5" hidden="false" customHeight="false" outlineLevel="0" collapsed="false">
      <c r="A82" s="323" t="s">
        <v>139</v>
      </c>
      <c r="B82" s="323" t="s">
        <v>217</v>
      </c>
      <c r="C82" s="324" t="s">
        <v>421</v>
      </c>
      <c r="D82" s="336" t="n">
        <f aca="false">D10</f>
        <v>44</v>
      </c>
      <c r="E82" s="325" t="n">
        <f aca="false">ROUNDDOWN(D82*0.95,0)</f>
        <v>41</v>
      </c>
      <c r="F82" s="325" t="n">
        <f aca="false">ROUNDDOWN(D82*0.9,0)</f>
        <v>39</v>
      </c>
      <c r="G82" s="326" t="n">
        <f aca="false">IF(tramo_prezo=1,D82,IF(tramo_prezo=2,E82,IF(tramo_prezo=3,F82,"error")))</f>
        <v>44</v>
      </c>
    </row>
    <row r="83" customFormat="false" ht="15" hidden="false" customHeight="false" outlineLevel="0" collapsed="false">
      <c r="A83" s="323" t="s">
        <v>139</v>
      </c>
      <c r="B83" s="323" t="s">
        <v>493</v>
      </c>
      <c r="C83" s="324" t="s">
        <v>464</v>
      </c>
      <c r="D83" s="336" t="n">
        <f aca="false">D54</f>
        <v>35</v>
      </c>
      <c r="E83" s="325" t="n">
        <f aca="false">ROUNDDOWN(D83*0.95,0)</f>
        <v>33</v>
      </c>
      <c r="F83" s="325" t="n">
        <f aca="false">ROUNDDOWN(D83*0.9,0)</f>
        <v>31</v>
      </c>
      <c r="G83" s="326" t="n">
        <f aca="false">IF(tramo_prezo=1,D83,IF(tramo_prezo=2,E83,IF(tramo_prezo=3,F83,"error")))</f>
        <v>35</v>
      </c>
    </row>
    <row r="84" customFormat="false" ht="15" hidden="false" customHeight="false" outlineLevel="0" collapsed="false">
      <c r="A84" s="323" t="s">
        <v>139</v>
      </c>
      <c r="B84" s="323" t="s">
        <v>218</v>
      </c>
      <c r="C84" s="324" t="s">
        <v>494</v>
      </c>
      <c r="D84" s="336" t="n">
        <v>33</v>
      </c>
      <c r="E84" s="325" t="n">
        <f aca="false">ROUNDDOWN(D84*0.95,0)</f>
        <v>31</v>
      </c>
      <c r="F84" s="325" t="n">
        <f aca="false">ROUNDDOWN(D84*0.9,0)</f>
        <v>29</v>
      </c>
      <c r="G84" s="326" t="n">
        <f aca="false">IF(tramo_prezo=1,D84,IF(tramo_prezo=2,E84,IF(tramo_prezo=3,F84,"error")))</f>
        <v>33</v>
      </c>
    </row>
    <row r="85" customFormat="false" ht="15" hidden="false" customHeight="false" outlineLevel="0" collapsed="false">
      <c r="A85" s="323" t="s">
        <v>139</v>
      </c>
      <c r="B85" s="323" t="s">
        <v>495</v>
      </c>
      <c r="C85" s="324" t="s">
        <v>463</v>
      </c>
      <c r="D85" s="336" t="n">
        <f aca="false">D53</f>
        <v>66</v>
      </c>
      <c r="E85" s="325" t="n">
        <f aca="false">ROUNDDOWN(D85*0.95,0)</f>
        <v>62</v>
      </c>
      <c r="F85" s="325" t="n">
        <f aca="false">ROUNDDOWN(D85*0.9,0)</f>
        <v>59</v>
      </c>
      <c r="G85" s="326" t="n">
        <f aca="false">IF(tramo_prezo=1,D85,IF(tramo_prezo=2,E85,IF(tramo_prezo=3,F85,"error")))</f>
        <v>66</v>
      </c>
    </row>
    <row r="86" customFormat="false" ht="15" hidden="false" customHeight="false" outlineLevel="0" collapsed="false">
      <c r="A86" s="323" t="s">
        <v>139</v>
      </c>
      <c r="B86" s="323" t="s">
        <v>220</v>
      </c>
      <c r="C86" s="324" t="s">
        <v>496</v>
      </c>
      <c r="D86" s="336" t="n">
        <v>63</v>
      </c>
      <c r="E86" s="325" t="n">
        <f aca="false">ROUNDDOWN(D86*0.95,0)</f>
        <v>59</v>
      </c>
      <c r="F86" s="325" t="n">
        <f aca="false">ROUNDDOWN(D86*0.9,0)</f>
        <v>56</v>
      </c>
      <c r="G86" s="326" t="n">
        <f aca="false">IF(tramo_prezo=1,D86,IF(tramo_prezo=2,E86,IF(tramo_prezo=3,F86,"error")))</f>
        <v>63</v>
      </c>
    </row>
    <row r="87" customFormat="false" ht="15" hidden="false" customHeight="false" outlineLevel="0" collapsed="false">
      <c r="A87" s="323" t="s">
        <v>139</v>
      </c>
      <c r="B87" s="323" t="s">
        <v>222</v>
      </c>
      <c r="C87" s="324" t="s">
        <v>497</v>
      </c>
      <c r="D87" s="336" t="n">
        <f aca="false">D25</f>
        <v>51</v>
      </c>
      <c r="E87" s="325" t="n">
        <f aca="false">ROUNDDOWN(D87*0.95,0)</f>
        <v>48</v>
      </c>
      <c r="F87" s="325" t="n">
        <f aca="false">ROUNDDOWN(D87*0.9,0)</f>
        <v>45</v>
      </c>
      <c r="G87" s="326" t="n">
        <f aca="false">IF(tramo_prezo=1,D87,IF(tramo_prezo=2,E87,IF(tramo_prezo=3,F87,"error")))</f>
        <v>51</v>
      </c>
    </row>
    <row r="88" customFormat="false" ht="15" hidden="false" customHeight="false" outlineLevel="0" collapsed="false">
      <c r="A88" s="323" t="s">
        <v>139</v>
      </c>
      <c r="B88" s="323" t="s">
        <v>224</v>
      </c>
      <c r="C88" s="324" t="s">
        <v>498</v>
      </c>
      <c r="D88" s="336" t="n">
        <v>30</v>
      </c>
      <c r="E88" s="325" t="n">
        <f aca="false">ROUNDDOWN(D88*0.95,0)</f>
        <v>28</v>
      </c>
      <c r="F88" s="325" t="n">
        <f aca="false">ROUNDDOWN(D88*0.9,0)</f>
        <v>27</v>
      </c>
      <c r="G88" s="326" t="n">
        <f aca="false">IF(tramo_prezo=1,D88,IF(tramo_prezo=2,E88,IF(tramo_prezo=3,F88,"error")))</f>
        <v>30</v>
      </c>
    </row>
    <row r="89" customFormat="false" ht="15" hidden="false" customHeight="false" outlineLevel="0" collapsed="false">
      <c r="A89" s="323" t="s">
        <v>139</v>
      </c>
      <c r="B89" s="323" t="s">
        <v>226</v>
      </c>
      <c r="C89" s="324" t="s">
        <v>499</v>
      </c>
      <c r="D89" s="336" t="n">
        <v>52</v>
      </c>
      <c r="E89" s="325" t="n">
        <f aca="false">ROUNDDOWN(D89*0.95,0)</f>
        <v>49</v>
      </c>
      <c r="F89" s="325" t="n">
        <f aca="false">ROUNDDOWN(D89*0.9,0)</f>
        <v>46</v>
      </c>
      <c r="G89" s="326" t="n">
        <f aca="false">IF(tramo_prezo=1,D89,IF(tramo_prezo=2,E89,IF(tramo_prezo=3,F89,"error")))</f>
        <v>52</v>
      </c>
    </row>
    <row r="90" customFormat="false" ht="15" hidden="false" customHeight="false" outlineLevel="0" collapsed="false">
      <c r="A90" s="323" t="s">
        <v>139</v>
      </c>
      <c r="B90" s="323" t="s">
        <v>500</v>
      </c>
      <c r="C90" s="324" t="s">
        <v>501</v>
      </c>
      <c r="D90" s="336" t="n">
        <v>135</v>
      </c>
      <c r="E90" s="325" t="n">
        <f aca="false">ROUNDDOWN(D90*0.95,0)</f>
        <v>128</v>
      </c>
      <c r="F90" s="325" t="n">
        <f aca="false">ROUNDDOWN(D90*0.9,0)</f>
        <v>121</v>
      </c>
      <c r="G90" s="326" t="n">
        <f aca="false">IF(tramo_prezo=1,D90,IF(tramo_prezo=2,E90,IF(tramo_prezo=3,F90,"error")))</f>
        <v>135</v>
      </c>
    </row>
    <row r="91" customFormat="false" ht="15" hidden="false" customHeight="false" outlineLevel="0" collapsed="false">
      <c r="A91" s="319"/>
      <c r="B91" s="319"/>
      <c r="C91" s="338" t="s">
        <v>502</v>
      </c>
      <c r="D91" s="333"/>
      <c r="E91" s="333"/>
      <c r="F91" s="333"/>
      <c r="G91" s="334"/>
      <c r="H91" s="331"/>
      <c r="I91" s="335"/>
      <c r="J91" s="335"/>
      <c r="K91" s="335"/>
      <c r="L91" s="335"/>
      <c r="M91" s="335"/>
      <c r="N91" s="335"/>
      <c r="O91" s="335"/>
      <c r="P91" s="335"/>
      <c r="Q91" s="335"/>
      <c r="R91" s="335"/>
      <c r="S91" s="335"/>
      <c r="T91" s="335"/>
      <c r="U91" s="335"/>
      <c r="V91" s="335"/>
      <c r="W91" s="335"/>
      <c r="X91" s="335"/>
      <c r="Y91" s="335"/>
      <c r="Z91" s="335"/>
      <c r="AA91" s="335"/>
      <c r="AB91" s="335"/>
      <c r="AC91" s="335"/>
      <c r="AD91" s="335"/>
      <c r="AE91" s="335"/>
      <c r="AF91" s="335"/>
      <c r="AG91" s="335"/>
      <c r="AH91" s="335"/>
      <c r="AI91" s="335"/>
      <c r="AJ91" s="335"/>
      <c r="AK91" s="335"/>
      <c r="AL91" s="335"/>
      <c r="AM91" s="335"/>
      <c r="AN91" s="335"/>
      <c r="AO91" s="335"/>
      <c r="AP91" s="335"/>
      <c r="AQ91" s="335"/>
      <c r="AR91" s="335"/>
      <c r="AS91" s="335"/>
      <c r="AT91" s="335"/>
      <c r="AU91" s="335"/>
      <c r="AV91" s="335"/>
      <c r="AW91" s="335"/>
      <c r="AX91" s="335"/>
      <c r="AY91" s="335"/>
      <c r="AZ91" s="335"/>
      <c r="BA91" s="335"/>
      <c r="BB91" s="335"/>
      <c r="BC91" s="335"/>
      <c r="BD91" s="335"/>
      <c r="BE91" s="335"/>
      <c r="BF91" s="335"/>
      <c r="BG91" s="335"/>
      <c r="BH91" s="335"/>
      <c r="BI91" s="335"/>
      <c r="BJ91" s="335"/>
      <c r="BK91" s="335"/>
      <c r="BL91" s="335"/>
    </row>
    <row r="92" customFormat="false" ht="15" hidden="false" customHeight="false" outlineLevel="0" collapsed="false">
      <c r="A92" s="323" t="s">
        <v>139</v>
      </c>
      <c r="B92" s="323" t="s">
        <v>196</v>
      </c>
      <c r="C92" s="324" t="s">
        <v>503</v>
      </c>
      <c r="D92" s="336" t="n">
        <v>69</v>
      </c>
      <c r="E92" s="325" t="n">
        <f aca="false">ROUNDDOWN(D92*0.95,0)</f>
        <v>65</v>
      </c>
      <c r="F92" s="325" t="n">
        <f aca="false">ROUNDDOWN(D92*0.9,0)</f>
        <v>62</v>
      </c>
      <c r="G92" s="326" t="n">
        <f aca="false">IF(tramo_prezo=1,D92,IF(tramo_prezo=2,E92,IF(tramo_prezo=3,F92,"error")))</f>
        <v>69</v>
      </c>
    </row>
    <row r="93" customFormat="false" ht="15" hidden="false" customHeight="false" outlineLevel="0" collapsed="false">
      <c r="A93" s="323" t="s">
        <v>139</v>
      </c>
      <c r="B93" s="323" t="s">
        <v>197</v>
      </c>
      <c r="C93" s="324" t="s">
        <v>504</v>
      </c>
      <c r="D93" s="336" t="n">
        <v>69</v>
      </c>
      <c r="E93" s="325" t="n">
        <f aca="false">ROUNDDOWN(D93*0.95,0)</f>
        <v>65</v>
      </c>
      <c r="F93" s="325" t="n">
        <f aca="false">ROUNDDOWN(D93*0.9,0)</f>
        <v>62</v>
      </c>
      <c r="G93" s="326" t="n">
        <f aca="false">IF(tramo_prezo=1,D93,IF(tramo_prezo=2,E93,IF(tramo_prezo=3,F93,"error")))</f>
        <v>69</v>
      </c>
    </row>
    <row r="94" customFormat="false" ht="15" hidden="false" customHeight="false" outlineLevel="0" collapsed="false">
      <c r="A94" s="323" t="s">
        <v>139</v>
      </c>
      <c r="B94" s="323" t="s">
        <v>198</v>
      </c>
      <c r="C94" s="324" t="s">
        <v>505</v>
      </c>
      <c r="D94" s="336" t="n">
        <v>22</v>
      </c>
      <c r="E94" s="325" t="n">
        <f aca="false">ROUNDDOWN(D94*0.95,0)</f>
        <v>20</v>
      </c>
      <c r="F94" s="325" t="n">
        <f aca="false">ROUNDDOWN(D94*0.9,0)</f>
        <v>19</v>
      </c>
      <c r="G94" s="326" t="n">
        <f aca="false">IF(tramo_prezo=1,D94,IF(tramo_prezo=2,E94,IF(tramo_prezo=3,F94,"error")))</f>
        <v>22</v>
      </c>
    </row>
    <row r="95" customFormat="false" ht="15" hidden="false" customHeight="false" outlineLevel="0" collapsed="false">
      <c r="A95" s="323" t="s">
        <v>139</v>
      </c>
      <c r="B95" s="323" t="s">
        <v>200</v>
      </c>
      <c r="C95" s="324" t="s">
        <v>506</v>
      </c>
      <c r="D95" s="336" t="n">
        <v>150</v>
      </c>
      <c r="E95" s="325" t="n">
        <f aca="false">ROUNDDOWN(D95*0.95,0)</f>
        <v>142</v>
      </c>
      <c r="F95" s="325" t="n">
        <f aca="false">ROUNDDOWN(D95*0.9,0)</f>
        <v>135</v>
      </c>
      <c r="G95" s="326" t="n">
        <f aca="false">IF(tramo_prezo=1,D95,IF(tramo_prezo=2,E95,IF(tramo_prezo=3,F95,"error")))</f>
        <v>150</v>
      </c>
    </row>
    <row r="96" customFormat="false" ht="15" hidden="false" customHeight="false" outlineLevel="0" collapsed="false">
      <c r="A96" s="323" t="s">
        <v>139</v>
      </c>
      <c r="B96" s="323" t="s">
        <v>507</v>
      </c>
      <c r="C96" s="324" t="s">
        <v>508</v>
      </c>
      <c r="D96" s="325" t="n">
        <v>54</v>
      </c>
      <c r="E96" s="325" t="n">
        <f aca="false">ROUNDDOWN(D96*0.95,0)</f>
        <v>51</v>
      </c>
      <c r="F96" s="325" t="n">
        <f aca="false">ROUNDDOWN(D96*0.9,0)</f>
        <v>48</v>
      </c>
      <c r="G96" s="326" t="n">
        <f aca="false">IF(tramo_prezo=1,D96,IF(tramo_prezo=2,E96,IF(tramo_prezo=3,F96,"error")))</f>
        <v>54</v>
      </c>
    </row>
    <row r="97" customFormat="false" ht="15" hidden="false" customHeight="false" outlineLevel="0" collapsed="false">
      <c r="A97" s="323" t="s">
        <v>139</v>
      </c>
      <c r="B97" s="323" t="s">
        <v>203</v>
      </c>
      <c r="C97" s="324" t="s">
        <v>509</v>
      </c>
      <c r="D97" s="336" t="n">
        <v>37</v>
      </c>
      <c r="E97" s="325" t="n">
        <f aca="false">ROUNDDOWN(D97*0.95,0)</f>
        <v>35</v>
      </c>
      <c r="F97" s="325" t="n">
        <f aca="false">ROUNDDOWN(D97*0.9,0)</f>
        <v>33</v>
      </c>
      <c r="G97" s="326" t="n">
        <f aca="false">IF(tramo_prezo=1,D97,IF(tramo_prezo=2,E97,IF(tramo_prezo=3,F97,"error")))</f>
        <v>37</v>
      </c>
    </row>
    <row r="98" customFormat="false" ht="15" hidden="false" customHeight="false" outlineLevel="0" collapsed="false">
      <c r="A98" s="323" t="s">
        <v>139</v>
      </c>
      <c r="B98" s="323" t="s">
        <v>204</v>
      </c>
      <c r="C98" s="324" t="s">
        <v>510</v>
      </c>
      <c r="D98" s="336" t="n">
        <v>60</v>
      </c>
      <c r="E98" s="325" t="n">
        <f aca="false">ROUNDDOWN(D98*0.95,0)</f>
        <v>57</v>
      </c>
      <c r="F98" s="325" t="n">
        <f aca="false">ROUNDDOWN(D98*0.9,0)</f>
        <v>54</v>
      </c>
      <c r="G98" s="326" t="n">
        <f aca="false">IF(tramo_prezo=1,D98,IF(tramo_prezo=2,E98,IF(tramo_prezo=3,F98,"error")))</f>
        <v>60</v>
      </c>
    </row>
    <row r="99" customFormat="false" ht="15" hidden="false" customHeight="false" outlineLevel="0" collapsed="false">
      <c r="A99" s="323" t="s">
        <v>139</v>
      </c>
      <c r="B99" s="323" t="s">
        <v>205</v>
      </c>
      <c r="C99" s="324" t="s">
        <v>511</v>
      </c>
      <c r="D99" s="336" t="n">
        <v>75</v>
      </c>
      <c r="E99" s="325" t="n">
        <f aca="false">ROUNDDOWN(D99*0.95,0)</f>
        <v>71</v>
      </c>
      <c r="F99" s="325" t="n">
        <f aca="false">ROUNDDOWN(D99*0.9,0)</f>
        <v>67</v>
      </c>
      <c r="G99" s="326" t="n">
        <f aca="false">IF(tramo_prezo=1,D99,IF(tramo_prezo=2,E99,IF(tramo_prezo=3,F99,"error")))</f>
        <v>75</v>
      </c>
    </row>
    <row r="100" customFormat="false" ht="15" hidden="false" customHeight="false" outlineLevel="0" collapsed="false">
      <c r="A100" s="323" t="s">
        <v>139</v>
      </c>
      <c r="B100" s="323" t="s">
        <v>206</v>
      </c>
      <c r="C100" s="324" t="s">
        <v>512</v>
      </c>
      <c r="D100" s="336" t="n">
        <v>41</v>
      </c>
      <c r="E100" s="325" t="n">
        <f aca="false">ROUNDDOWN(D100*0.95,0)</f>
        <v>38</v>
      </c>
      <c r="F100" s="325" t="n">
        <f aca="false">ROUNDDOWN(D100*0.9,0)</f>
        <v>36</v>
      </c>
      <c r="G100" s="326" t="n">
        <f aca="false">IF(tramo_prezo=1,D100,IF(tramo_prezo=2,E100,IF(tramo_prezo=3,F100,"error")))</f>
        <v>41</v>
      </c>
    </row>
    <row r="101" customFormat="false" ht="15" hidden="false" customHeight="false" outlineLevel="0" collapsed="false">
      <c r="A101" s="323" t="s">
        <v>139</v>
      </c>
      <c r="B101" s="323" t="s">
        <v>209</v>
      </c>
      <c r="C101" s="324" t="s">
        <v>513</v>
      </c>
      <c r="D101" s="336" t="n">
        <v>219</v>
      </c>
      <c r="E101" s="325" t="n">
        <f aca="false">ROUNDDOWN(D101*0.95,0)</f>
        <v>208</v>
      </c>
      <c r="F101" s="325" t="n">
        <f aca="false">ROUNDDOWN(D101*0.9,0)</f>
        <v>197</v>
      </c>
      <c r="G101" s="326" t="n">
        <f aca="false">IF(tramo_prezo=1,D101,IF(tramo_prezo=2,E101,IF(tramo_prezo=3,F101,"error")))</f>
        <v>219</v>
      </c>
    </row>
    <row r="102" customFormat="false" ht="15" hidden="false" customHeight="false" outlineLevel="0" collapsed="false">
      <c r="A102" s="319"/>
      <c r="B102" s="319"/>
      <c r="C102" s="338" t="s">
        <v>514</v>
      </c>
      <c r="D102" s="333"/>
      <c r="E102" s="333"/>
      <c r="F102" s="333"/>
      <c r="G102" s="334"/>
      <c r="H102" s="331"/>
      <c r="I102" s="335"/>
      <c r="J102" s="335"/>
      <c r="K102" s="335"/>
      <c r="L102" s="335"/>
      <c r="M102" s="335"/>
      <c r="N102" s="335"/>
      <c r="O102" s="335"/>
      <c r="P102" s="335"/>
      <c r="Q102" s="335"/>
      <c r="R102" s="335"/>
      <c r="S102" s="335"/>
      <c r="T102" s="335"/>
      <c r="U102" s="335"/>
      <c r="V102" s="335"/>
      <c r="W102" s="335"/>
      <c r="X102" s="335"/>
      <c r="Y102" s="335"/>
      <c r="Z102" s="335"/>
      <c r="AA102" s="335"/>
      <c r="AB102" s="335"/>
      <c r="AC102" s="335"/>
      <c r="AD102" s="335"/>
      <c r="AE102" s="335"/>
      <c r="AF102" s="335"/>
      <c r="AG102" s="335"/>
      <c r="AH102" s="335"/>
      <c r="AI102" s="335"/>
      <c r="AJ102" s="335"/>
      <c r="AK102" s="335"/>
      <c r="AL102" s="335"/>
      <c r="AM102" s="335"/>
      <c r="AN102" s="335"/>
      <c r="AO102" s="335"/>
      <c r="AP102" s="335"/>
      <c r="AQ102" s="335"/>
      <c r="AR102" s="335"/>
      <c r="AS102" s="335"/>
      <c r="AT102" s="335"/>
      <c r="AU102" s="335"/>
      <c r="AV102" s="335"/>
      <c r="AW102" s="335"/>
      <c r="AX102" s="335"/>
      <c r="AY102" s="335"/>
      <c r="AZ102" s="335"/>
      <c r="BA102" s="335"/>
      <c r="BB102" s="335"/>
      <c r="BC102" s="335"/>
      <c r="BD102" s="335"/>
      <c r="BE102" s="335"/>
      <c r="BF102" s="335"/>
      <c r="BG102" s="335"/>
      <c r="BH102" s="335"/>
      <c r="BI102" s="335"/>
      <c r="BJ102" s="335"/>
      <c r="BK102" s="335"/>
      <c r="BL102" s="335"/>
    </row>
    <row r="103" customFormat="false" ht="22.5" hidden="false" customHeight="false" outlineLevel="0" collapsed="false">
      <c r="A103" s="323" t="s">
        <v>139</v>
      </c>
      <c r="B103" s="323" t="s">
        <v>255</v>
      </c>
      <c r="C103" s="324" t="s">
        <v>515</v>
      </c>
      <c r="D103" s="336" t="n">
        <v>183</v>
      </c>
      <c r="E103" s="325" t="n">
        <f aca="false">ROUNDDOWN(D103*0.95,0)</f>
        <v>173</v>
      </c>
      <c r="F103" s="325" t="n">
        <f aca="false">ROUNDDOWN(D103*0.9,0)</f>
        <v>164</v>
      </c>
      <c r="G103" s="326" t="n">
        <f aca="false">IF(tramo_prezo=1,D103,IF(tramo_prezo=2,E103,IF(tramo_prezo=3,F103,"error")))</f>
        <v>183</v>
      </c>
    </row>
    <row r="104" customFormat="false" ht="33.75" hidden="false" customHeight="false" outlineLevel="0" collapsed="false">
      <c r="A104" s="323" t="s">
        <v>139</v>
      </c>
      <c r="B104" s="323" t="s">
        <v>516</v>
      </c>
      <c r="C104" s="324" t="s">
        <v>517</v>
      </c>
      <c r="D104" s="336" t="n">
        <v>400</v>
      </c>
      <c r="E104" s="325" t="n">
        <f aca="false">ROUNDDOWN(D104*0.95,0)</f>
        <v>380</v>
      </c>
      <c r="F104" s="325" t="n">
        <f aca="false">ROUNDDOWN(D104*0.9,0)</f>
        <v>360</v>
      </c>
      <c r="G104" s="326" t="n">
        <f aca="false">IF(tramo_prezo=1,D104,IF(tramo_prezo=2,E104,IF(tramo_prezo=3,F104,"error")))</f>
        <v>400</v>
      </c>
    </row>
    <row r="105" customFormat="false" ht="33.75" hidden="false" customHeight="false" outlineLevel="0" collapsed="false">
      <c r="A105" s="323" t="s">
        <v>139</v>
      </c>
      <c r="B105" s="323" t="s">
        <v>518</v>
      </c>
      <c r="C105" s="324" t="s">
        <v>519</v>
      </c>
      <c r="D105" s="336" t="n">
        <v>483</v>
      </c>
      <c r="E105" s="325" t="n">
        <f aca="false">ROUNDDOWN(D105*0.95,0)</f>
        <v>458</v>
      </c>
      <c r="F105" s="325" t="n">
        <f aca="false">ROUNDDOWN(D105*0.9,0)</f>
        <v>434</v>
      </c>
      <c r="G105" s="326" t="n">
        <f aca="false">IF(tramo_prezo=1,D105,IF(tramo_prezo=2,E105,IF(tramo_prezo=3,F105,"error")))</f>
        <v>483</v>
      </c>
    </row>
    <row r="106" customFormat="false" ht="15" hidden="false" customHeight="false" outlineLevel="0" collapsed="false">
      <c r="A106" s="323" t="s">
        <v>139</v>
      </c>
      <c r="B106" s="323" t="s">
        <v>257</v>
      </c>
      <c r="C106" s="324" t="s">
        <v>520</v>
      </c>
      <c r="D106" s="336" t="n">
        <v>86</v>
      </c>
      <c r="E106" s="325" t="n">
        <f aca="false">ROUNDDOWN(D106*0.95,0)</f>
        <v>81</v>
      </c>
      <c r="F106" s="325" t="n">
        <f aca="false">ROUNDDOWN(D106*0.9,0)</f>
        <v>77</v>
      </c>
      <c r="G106" s="326" t="n">
        <f aca="false">IF(tramo_prezo=1,D106,IF(tramo_prezo=2,E106,IF(tramo_prezo=3,F106,"error")))</f>
        <v>86</v>
      </c>
    </row>
    <row r="107" customFormat="false" ht="15" hidden="false" customHeight="false" outlineLevel="0" collapsed="false">
      <c r="A107" s="323" t="s">
        <v>139</v>
      </c>
      <c r="B107" s="323" t="s">
        <v>322</v>
      </c>
      <c r="C107" s="324" t="s">
        <v>521</v>
      </c>
      <c r="D107" s="336" t="n">
        <v>86</v>
      </c>
      <c r="E107" s="325" t="n">
        <f aca="false">ROUNDDOWN(D107*0.95,0)</f>
        <v>81</v>
      </c>
      <c r="F107" s="325" t="n">
        <f aca="false">ROUNDDOWN(D107*0.9,0)</f>
        <v>77</v>
      </c>
      <c r="G107" s="326" t="n">
        <f aca="false">IF(tramo_prezo=1,D107,IF(tramo_prezo=2,E107,IF(tramo_prezo=3,F107,"error")))</f>
        <v>86</v>
      </c>
    </row>
    <row r="108" customFormat="false" ht="15" hidden="false" customHeight="false" outlineLevel="0" collapsed="false">
      <c r="A108" s="323" t="s">
        <v>139</v>
      </c>
      <c r="B108" s="323" t="s">
        <v>258</v>
      </c>
      <c r="C108" s="324" t="s">
        <v>522</v>
      </c>
      <c r="D108" s="336" t="n">
        <v>41</v>
      </c>
      <c r="E108" s="325" t="n">
        <f aca="false">ROUNDDOWN(D108*0.95,0)</f>
        <v>38</v>
      </c>
      <c r="F108" s="325" t="n">
        <f aca="false">ROUNDDOWN(D108*0.9,0)</f>
        <v>36</v>
      </c>
      <c r="G108" s="326" t="n">
        <f aca="false">IF(tramo_prezo=1,D108,IF(tramo_prezo=2,E108,IF(tramo_prezo=3,F108,"error")))</f>
        <v>41</v>
      </c>
    </row>
    <row r="109" customFormat="false" ht="15" hidden="false" customHeight="false" outlineLevel="0" collapsed="false">
      <c r="A109" s="323" t="s">
        <v>139</v>
      </c>
      <c r="B109" s="323" t="s">
        <v>259</v>
      </c>
      <c r="C109" s="324" t="s">
        <v>523</v>
      </c>
      <c r="D109" s="336" t="n">
        <v>680</v>
      </c>
      <c r="E109" s="325" t="n">
        <f aca="false">ROUNDDOWN(D109*0.95,0)</f>
        <v>646</v>
      </c>
      <c r="F109" s="325" t="n">
        <f aca="false">ROUNDDOWN(D109*0.9,0)</f>
        <v>612</v>
      </c>
      <c r="G109" s="326" t="n">
        <f aca="false">IF(tramo_prezo=1,D109,IF(tramo_prezo=2,E109,IF(tramo_prezo=3,F109,"error")))</f>
        <v>680</v>
      </c>
    </row>
    <row r="110" customFormat="false" ht="22.5" hidden="false" customHeight="false" outlineLevel="0" collapsed="false">
      <c r="A110" s="323" t="s">
        <v>139</v>
      </c>
      <c r="B110" s="323" t="s">
        <v>260</v>
      </c>
      <c r="C110" s="324" t="s">
        <v>524</v>
      </c>
      <c r="D110" s="336" t="n">
        <v>483</v>
      </c>
      <c r="E110" s="325" t="n">
        <f aca="false">ROUNDDOWN(D110*0.95,0)</f>
        <v>458</v>
      </c>
      <c r="F110" s="325" t="n">
        <f aca="false">ROUNDDOWN(D110*0.9,0)</f>
        <v>434</v>
      </c>
      <c r="G110" s="326" t="n">
        <f aca="false">IF(tramo_prezo=1,D110,IF(tramo_prezo=2,E110,IF(tramo_prezo=3,F110,"error")))</f>
        <v>483</v>
      </c>
    </row>
    <row r="111" customFormat="false" ht="15" hidden="false" customHeight="false" outlineLevel="0" collapsed="false">
      <c r="A111" s="323" t="s">
        <v>139</v>
      </c>
      <c r="B111" s="323" t="s">
        <v>525</v>
      </c>
      <c r="C111" s="324" t="s">
        <v>526</v>
      </c>
      <c r="D111" s="336" t="n">
        <v>173</v>
      </c>
      <c r="E111" s="325" t="n">
        <f aca="false">ROUNDDOWN(D111*0.95,0)</f>
        <v>164</v>
      </c>
      <c r="F111" s="325" t="n">
        <f aca="false">ROUNDDOWN(D111*0.9,0)</f>
        <v>155</v>
      </c>
      <c r="G111" s="326" t="n">
        <f aca="false">IF(tramo_prezo=1,D111,IF(tramo_prezo=2,E111,IF(tramo_prezo=3,F111,"error")))</f>
        <v>173</v>
      </c>
    </row>
    <row r="112" customFormat="false" ht="15" hidden="false" customHeight="false" outlineLevel="0" collapsed="false">
      <c r="A112" s="323" t="s">
        <v>139</v>
      </c>
      <c r="B112" s="323" t="s">
        <v>527</v>
      </c>
      <c r="C112" s="324" t="s">
        <v>528</v>
      </c>
      <c r="D112" s="336" t="n">
        <v>220</v>
      </c>
      <c r="E112" s="325" t="n">
        <f aca="false">ROUNDDOWN(D112*0.95,0)</f>
        <v>209</v>
      </c>
      <c r="F112" s="325" t="n">
        <f aca="false">ROUNDDOWN(D112*0.9,0)</f>
        <v>198</v>
      </c>
      <c r="G112" s="326" t="n">
        <f aca="false">IF(tramo_prezo=1,D112,IF(tramo_prezo=2,E112,IF(tramo_prezo=3,F112,"error")))</f>
        <v>220</v>
      </c>
    </row>
    <row r="113" customFormat="false" ht="15" hidden="false" customHeight="false" outlineLevel="0" collapsed="false">
      <c r="A113" s="323" t="s">
        <v>139</v>
      </c>
      <c r="B113" s="323" t="s">
        <v>323</v>
      </c>
      <c r="C113" s="324" t="s">
        <v>529</v>
      </c>
      <c r="D113" s="325" t="n">
        <v>250</v>
      </c>
      <c r="E113" s="325" t="n">
        <f aca="false">ROUNDDOWN(D113*0.95,0)</f>
        <v>237</v>
      </c>
      <c r="F113" s="325" t="n">
        <f aca="false">ROUNDDOWN(D113*0.9,0)</f>
        <v>225</v>
      </c>
      <c r="G113" s="326" t="n">
        <f aca="false">IF(tramo_prezo=1,D113,IF(tramo_prezo=2,E113,IF(tramo_prezo=3,F113,"error")))</f>
        <v>250</v>
      </c>
    </row>
    <row r="114" customFormat="false" ht="15" hidden="false" customHeight="false" outlineLevel="0" collapsed="false">
      <c r="A114" s="323" t="s">
        <v>139</v>
      </c>
      <c r="B114" s="323" t="s">
        <v>324</v>
      </c>
      <c r="C114" s="324" t="s">
        <v>530</v>
      </c>
      <c r="D114" s="336" t="n">
        <f aca="false">D112</f>
        <v>220</v>
      </c>
      <c r="E114" s="325" t="n">
        <f aca="false">ROUNDDOWN(D114*0.95,0)</f>
        <v>209</v>
      </c>
      <c r="F114" s="325" t="n">
        <f aca="false">ROUNDDOWN(D114*0.9,0)</f>
        <v>198</v>
      </c>
      <c r="G114" s="326" t="n">
        <f aca="false">IF(tramo_prezo=1,D114,IF(tramo_prezo=2,E114,IF(tramo_prezo=3,F114,"error")))</f>
        <v>220</v>
      </c>
    </row>
    <row r="115" customFormat="false" ht="15" hidden="false" customHeight="false" outlineLevel="0" collapsed="false">
      <c r="A115" s="323" t="s">
        <v>139</v>
      </c>
      <c r="B115" s="323" t="s">
        <v>325</v>
      </c>
      <c r="C115" s="324" t="s">
        <v>531</v>
      </c>
      <c r="D115" s="336" t="n">
        <v>575</v>
      </c>
      <c r="E115" s="325" t="n">
        <f aca="false">ROUNDDOWN(D115*0.95,0)</f>
        <v>546</v>
      </c>
      <c r="F115" s="325" t="n">
        <f aca="false">ROUNDDOWN(D115*0.9,0)</f>
        <v>517</v>
      </c>
      <c r="G115" s="326" t="n">
        <f aca="false">IF(tramo_prezo=1,D115,IF(tramo_prezo=2,E115,IF(tramo_prezo=3,F115,"error")))</f>
        <v>575</v>
      </c>
    </row>
    <row r="116" customFormat="false" ht="22.5" hidden="false" customHeight="false" outlineLevel="0" collapsed="false">
      <c r="A116" s="323" t="s">
        <v>139</v>
      </c>
      <c r="B116" s="323" t="s">
        <v>261</v>
      </c>
      <c r="C116" s="324" t="s">
        <v>532</v>
      </c>
      <c r="D116" s="336" t="n">
        <v>79</v>
      </c>
      <c r="E116" s="325" t="n">
        <f aca="false">ROUNDDOWN(D116*0.95,0)</f>
        <v>75</v>
      </c>
      <c r="F116" s="325" t="n">
        <f aca="false">ROUNDDOWN(D116*0.9,0)</f>
        <v>71</v>
      </c>
      <c r="G116" s="326" t="n">
        <f aca="false">IF(tramo_prezo=1,D116,IF(tramo_prezo=2,E116,IF(tramo_prezo=3,F116,"error")))</f>
        <v>79</v>
      </c>
    </row>
    <row r="117" customFormat="false" ht="15" hidden="false" customHeight="false" outlineLevel="0" collapsed="false">
      <c r="A117" s="323" t="s">
        <v>139</v>
      </c>
      <c r="B117" s="323" t="s">
        <v>277</v>
      </c>
      <c r="C117" s="324" t="s">
        <v>533</v>
      </c>
      <c r="D117" s="336" t="n">
        <v>69</v>
      </c>
      <c r="E117" s="325" t="n">
        <f aca="false">ROUNDDOWN(D117*0.95,0)</f>
        <v>65</v>
      </c>
      <c r="F117" s="325" t="n">
        <f aca="false">ROUNDDOWN(D117*0.9,0)</f>
        <v>62</v>
      </c>
      <c r="G117" s="326" t="n">
        <f aca="false">IF(tramo_prezo=1,D117,IF(tramo_prezo=2,E117,IF(tramo_prezo=3,F117,"error")))</f>
        <v>69</v>
      </c>
    </row>
    <row r="118" customFormat="false" ht="22.5" hidden="false" customHeight="false" outlineLevel="0" collapsed="false">
      <c r="A118" s="323" t="s">
        <v>139</v>
      </c>
      <c r="B118" s="323" t="s">
        <v>265</v>
      </c>
      <c r="C118" s="324" t="s">
        <v>534</v>
      </c>
      <c r="D118" s="336" t="n">
        <v>69</v>
      </c>
      <c r="E118" s="325" t="n">
        <f aca="false">ROUNDDOWN(D118*0.95,0)</f>
        <v>65</v>
      </c>
      <c r="F118" s="325" t="n">
        <f aca="false">ROUNDDOWN(D118*0.9,0)</f>
        <v>62</v>
      </c>
      <c r="G118" s="326" t="n">
        <f aca="false">IF(tramo_prezo=1,D118,IF(tramo_prezo=2,E118,IF(tramo_prezo=3,F118,"error")))</f>
        <v>69</v>
      </c>
    </row>
    <row r="119" customFormat="false" ht="33.75" hidden="false" customHeight="false" outlineLevel="0" collapsed="false">
      <c r="A119" s="323" t="s">
        <v>139</v>
      </c>
      <c r="B119" s="323" t="s">
        <v>263</v>
      </c>
      <c r="C119" s="324" t="s">
        <v>535</v>
      </c>
      <c r="D119" s="336" t="n">
        <v>650</v>
      </c>
      <c r="E119" s="325" t="n">
        <f aca="false">ROUNDDOWN(D119*0.95,0)</f>
        <v>617</v>
      </c>
      <c r="F119" s="325" t="n">
        <f aca="false">ROUNDDOWN(D119*0.9,0)</f>
        <v>585</v>
      </c>
      <c r="G119" s="326" t="n">
        <f aca="false">IF(tramo_prezo=1,D119,IF(tramo_prezo=2,E119,IF(tramo_prezo=3,F119,"error")))</f>
        <v>650</v>
      </c>
    </row>
    <row r="120" customFormat="false" ht="33.75" hidden="false" customHeight="false" outlineLevel="0" collapsed="false">
      <c r="A120" s="323" t="s">
        <v>139</v>
      </c>
      <c r="B120" s="323" t="s">
        <v>536</v>
      </c>
      <c r="C120" s="324" t="s">
        <v>479</v>
      </c>
      <c r="D120" s="336" t="n">
        <f aca="false">D69</f>
        <v>2530</v>
      </c>
      <c r="E120" s="325" t="n">
        <f aca="false">ROUNDDOWN(D120*0.95,0)</f>
        <v>2403</v>
      </c>
      <c r="F120" s="325" t="n">
        <f aca="false">ROUNDDOWN(D120*0.9,0)</f>
        <v>2277</v>
      </c>
      <c r="G120" s="326" t="n">
        <f aca="false">IF(tramo_prezo=1,D120,IF(tramo_prezo=2,E120,IF(tramo_prezo=3,F120,"error")))</f>
        <v>2530</v>
      </c>
    </row>
    <row r="121" customFormat="false" ht="33.75" hidden="false" customHeight="false" outlineLevel="0" collapsed="false">
      <c r="A121" s="323" t="s">
        <v>480</v>
      </c>
      <c r="B121" s="323" t="s">
        <v>537</v>
      </c>
      <c r="C121" s="324" t="s">
        <v>538</v>
      </c>
      <c r="D121" s="336" t="n">
        <f aca="false">D70</f>
        <v>17</v>
      </c>
      <c r="E121" s="325" t="n">
        <f aca="false">ROUNDDOWN(D121*0.95,0)</f>
        <v>16</v>
      </c>
      <c r="F121" s="325" t="n">
        <f aca="false">ROUNDDOWN(D121*0.9,0)</f>
        <v>15</v>
      </c>
      <c r="G121" s="326" t="n">
        <f aca="false">IF(tramo_prezo=1,D121,IF(tramo_prezo=2,E121,IF(tramo_prezo=3,F121,"error")))</f>
        <v>17</v>
      </c>
    </row>
    <row r="122" customFormat="false" ht="22.5" hidden="false" customHeight="false" outlineLevel="0" collapsed="false">
      <c r="A122" s="323" t="s">
        <v>139</v>
      </c>
      <c r="B122" s="323" t="s">
        <v>282</v>
      </c>
      <c r="C122" s="324" t="s">
        <v>539</v>
      </c>
      <c r="D122" s="336" t="n">
        <v>6854</v>
      </c>
      <c r="E122" s="325" t="n">
        <f aca="false">ROUNDDOWN(D122*0.95,0)</f>
        <v>6511</v>
      </c>
      <c r="F122" s="325" t="n">
        <f aca="false">ROUNDDOWN(D122*0.9,0)</f>
        <v>6168</v>
      </c>
      <c r="G122" s="326" t="n">
        <f aca="false">IF(tramo_prezo=1,D122,IF(tramo_prezo=2,E122,IF(tramo_prezo=3,F122,"error")))</f>
        <v>6854</v>
      </c>
    </row>
    <row r="123" customFormat="false" ht="22.5" hidden="false" customHeight="false" outlineLevel="0" collapsed="false">
      <c r="A123" s="323" t="s">
        <v>480</v>
      </c>
      <c r="B123" s="323" t="s">
        <v>285</v>
      </c>
      <c r="C123" s="324" t="s">
        <v>540</v>
      </c>
      <c r="D123" s="336" t="n">
        <v>35</v>
      </c>
      <c r="E123" s="325" t="n">
        <f aca="false">ROUNDDOWN(D123*0.95,0)</f>
        <v>33</v>
      </c>
      <c r="F123" s="325" t="n">
        <f aca="false">ROUNDDOWN(D123*0.9,0)</f>
        <v>31</v>
      </c>
      <c r="G123" s="326" t="n">
        <f aca="false">IF(tramo_prezo=1,D123,IF(tramo_prezo=2,E123,IF(tramo_prezo=3,F123,"error")))</f>
        <v>35</v>
      </c>
    </row>
    <row r="124" customFormat="false" ht="22.5" hidden="false" customHeight="false" outlineLevel="0" collapsed="false">
      <c r="A124" s="323" t="s">
        <v>139</v>
      </c>
      <c r="B124" s="323" t="s">
        <v>294</v>
      </c>
      <c r="C124" s="324" t="s">
        <v>541</v>
      </c>
      <c r="D124" s="336" t="n">
        <v>28</v>
      </c>
      <c r="E124" s="325" t="n">
        <f aca="false">ROUNDDOWN(D124*0.95,0)</f>
        <v>26</v>
      </c>
      <c r="F124" s="325" t="n">
        <f aca="false">ROUNDDOWN(D124*0.9,0)</f>
        <v>25</v>
      </c>
      <c r="G124" s="326" t="n">
        <f aca="false">IF(tramo_prezo=1,D124,IF(tramo_prezo=2,E124,IF(tramo_prezo=3,F124,"error")))</f>
        <v>28</v>
      </c>
    </row>
    <row r="125" customFormat="false" ht="15" hidden="false" customHeight="false" outlineLevel="0" collapsed="false">
      <c r="D125" s="329"/>
      <c r="E125" s="329"/>
      <c r="F125" s="329"/>
      <c r="G125" s="330"/>
    </row>
    <row r="126" customFormat="false" ht="15.75" hidden="false" customHeight="false" outlineLevel="0" collapsed="false">
      <c r="A126" s="319"/>
      <c r="B126" s="319"/>
      <c r="C126" s="320" t="s">
        <v>334</v>
      </c>
      <c r="D126" s="333"/>
      <c r="E126" s="333"/>
      <c r="F126" s="333"/>
      <c r="G126" s="334"/>
      <c r="H126" s="331"/>
      <c r="I126" s="335"/>
      <c r="J126" s="335"/>
      <c r="K126" s="335"/>
      <c r="L126" s="335"/>
      <c r="M126" s="335"/>
      <c r="N126" s="335"/>
      <c r="O126" s="335"/>
      <c r="P126" s="335"/>
      <c r="Q126" s="335"/>
      <c r="R126" s="335"/>
      <c r="S126" s="335"/>
      <c r="T126" s="335"/>
      <c r="U126" s="335"/>
      <c r="V126" s="335"/>
      <c r="W126" s="335"/>
      <c r="X126" s="335"/>
      <c r="Y126" s="335"/>
      <c r="Z126" s="335"/>
      <c r="AA126" s="335"/>
      <c r="AB126" s="335"/>
      <c r="AC126" s="335"/>
      <c r="AD126" s="335"/>
      <c r="AE126" s="335"/>
      <c r="AF126" s="335"/>
      <c r="AG126" s="335"/>
      <c r="AH126" s="335"/>
      <c r="AI126" s="335"/>
      <c r="AJ126" s="335"/>
      <c r="AK126" s="335"/>
      <c r="AL126" s="335"/>
      <c r="AM126" s="335"/>
      <c r="AN126" s="335"/>
      <c r="AO126" s="335"/>
      <c r="AP126" s="335"/>
      <c r="AQ126" s="335"/>
      <c r="AR126" s="335"/>
      <c r="AS126" s="335"/>
      <c r="AT126" s="335"/>
      <c r="AU126" s="335"/>
      <c r="AV126" s="335"/>
      <c r="AW126" s="335"/>
      <c r="AX126" s="335"/>
      <c r="AY126" s="335"/>
      <c r="AZ126" s="335"/>
      <c r="BA126" s="335"/>
      <c r="BB126" s="335"/>
      <c r="BC126" s="335"/>
      <c r="BD126" s="335"/>
      <c r="BE126" s="335"/>
      <c r="BF126" s="335"/>
      <c r="BG126" s="335"/>
      <c r="BH126" s="335"/>
      <c r="BI126" s="335"/>
      <c r="BJ126" s="335"/>
      <c r="BK126" s="335"/>
      <c r="BL126" s="335"/>
    </row>
    <row r="127" customFormat="false" ht="15" hidden="false" customHeight="false" outlineLevel="0" collapsed="false">
      <c r="A127" s="319"/>
      <c r="B127" s="319"/>
      <c r="C127" s="337" t="s">
        <v>542</v>
      </c>
      <c r="D127" s="333"/>
      <c r="E127" s="333"/>
      <c r="F127" s="333"/>
      <c r="G127" s="334"/>
      <c r="H127" s="331"/>
      <c r="I127" s="335"/>
      <c r="J127" s="335"/>
      <c r="K127" s="335"/>
      <c r="L127" s="335"/>
      <c r="M127" s="335"/>
      <c r="N127" s="335"/>
      <c r="O127" s="335"/>
      <c r="P127" s="335"/>
      <c r="Q127" s="335"/>
      <c r="R127" s="335"/>
      <c r="S127" s="335"/>
      <c r="T127" s="335"/>
      <c r="U127" s="335"/>
      <c r="V127" s="335"/>
      <c r="W127" s="335"/>
      <c r="X127" s="335"/>
      <c r="Y127" s="335"/>
      <c r="Z127" s="335"/>
      <c r="AA127" s="335"/>
      <c r="AB127" s="335"/>
      <c r="AC127" s="335"/>
      <c r="AD127" s="335"/>
      <c r="AE127" s="335"/>
      <c r="AF127" s="335"/>
      <c r="AG127" s="335"/>
      <c r="AH127" s="335"/>
      <c r="AI127" s="335"/>
      <c r="AJ127" s="335"/>
      <c r="AK127" s="335"/>
      <c r="AL127" s="335"/>
      <c r="AM127" s="335"/>
      <c r="AN127" s="335"/>
      <c r="AO127" s="335"/>
      <c r="AP127" s="335"/>
      <c r="AQ127" s="335"/>
      <c r="AR127" s="335"/>
      <c r="AS127" s="335"/>
      <c r="AT127" s="335"/>
      <c r="AU127" s="335"/>
      <c r="AV127" s="335"/>
      <c r="AW127" s="335"/>
      <c r="AX127" s="335"/>
      <c r="AY127" s="335"/>
      <c r="AZ127" s="335"/>
      <c r="BA127" s="335"/>
      <c r="BB127" s="335"/>
      <c r="BC127" s="335"/>
      <c r="BD127" s="335"/>
      <c r="BE127" s="335"/>
      <c r="BF127" s="335"/>
      <c r="BG127" s="335"/>
      <c r="BH127" s="335"/>
      <c r="BI127" s="335"/>
      <c r="BJ127" s="335"/>
      <c r="BK127" s="335"/>
      <c r="BL127" s="335"/>
    </row>
    <row r="128" customFormat="false" ht="22.5" hidden="false" customHeight="false" outlineLevel="0" collapsed="false">
      <c r="A128" s="323" t="s">
        <v>139</v>
      </c>
      <c r="B128" s="323" t="s">
        <v>543</v>
      </c>
      <c r="C128" s="324" t="s">
        <v>544</v>
      </c>
      <c r="D128" s="336" t="n">
        <v>109</v>
      </c>
      <c r="E128" s="325" t="n">
        <f aca="false">ROUNDDOWN(D128*0.95,0)</f>
        <v>103</v>
      </c>
      <c r="F128" s="325" t="n">
        <f aca="false">ROUNDDOWN(D128*0.9,0)</f>
        <v>98</v>
      </c>
      <c r="G128" s="326" t="n">
        <f aca="false">IF(tramo_prezo=1,D128,IF(tramo_prezo=2,E128,IF(tramo_prezo=3,F128,"error")))</f>
        <v>109</v>
      </c>
    </row>
    <row r="129" customFormat="false" ht="33.75" hidden="false" customHeight="false" outlineLevel="0" collapsed="false">
      <c r="A129" s="323" t="s">
        <v>139</v>
      </c>
      <c r="B129" s="323" t="s">
        <v>338</v>
      </c>
      <c r="C129" s="324" t="s">
        <v>545</v>
      </c>
      <c r="D129" s="336" t="n">
        <v>174</v>
      </c>
      <c r="E129" s="325" t="n">
        <f aca="false">ROUNDDOWN(D129*0.95,0)</f>
        <v>165</v>
      </c>
      <c r="F129" s="325" t="n">
        <f aca="false">ROUNDDOWN(D129*0.9,0)</f>
        <v>156</v>
      </c>
      <c r="G129" s="326" t="n">
        <f aca="false">IF(tramo_prezo=1,D129,IF(tramo_prezo=2,E129,IF(tramo_prezo=3,F129,"error")))</f>
        <v>174</v>
      </c>
    </row>
    <row r="130" customFormat="false" ht="22.5" hidden="false" customHeight="false" outlineLevel="0" collapsed="false">
      <c r="A130" s="323" t="s">
        <v>139</v>
      </c>
      <c r="B130" s="323" t="s">
        <v>546</v>
      </c>
      <c r="C130" s="324" t="s">
        <v>547</v>
      </c>
      <c r="D130" s="336" t="n">
        <f aca="false">D118</f>
        <v>69</v>
      </c>
      <c r="E130" s="325" t="n">
        <f aca="false">ROUNDDOWN(D130*0.95,0)</f>
        <v>65</v>
      </c>
      <c r="F130" s="325" t="n">
        <f aca="false">ROUNDDOWN(D130*0.9,0)</f>
        <v>62</v>
      </c>
      <c r="G130" s="326" t="n">
        <f aca="false">IF(tramo_prezo=1,D130,IF(tramo_prezo=2,E130,IF(tramo_prezo=3,F130,"error")))</f>
        <v>69</v>
      </c>
    </row>
    <row r="131" customFormat="false" ht="22.5" hidden="false" customHeight="false" outlineLevel="0" collapsed="false">
      <c r="A131" s="323" t="s">
        <v>139</v>
      </c>
      <c r="B131" s="323" t="s">
        <v>342</v>
      </c>
      <c r="C131" s="324" t="s">
        <v>548</v>
      </c>
      <c r="D131" s="336" t="n">
        <v>140</v>
      </c>
      <c r="E131" s="325" t="n">
        <f aca="false">ROUNDDOWN(D131*0.95,0)</f>
        <v>133</v>
      </c>
      <c r="F131" s="325" t="n">
        <f aca="false">ROUNDDOWN(D131*0.9,0)</f>
        <v>126</v>
      </c>
      <c r="G131" s="326" t="n">
        <f aca="false">IF(tramo_prezo=1,D131,IF(tramo_prezo=2,E131,IF(tramo_prezo=3,F131,"error")))</f>
        <v>140</v>
      </c>
    </row>
    <row r="132" customFormat="false" ht="33.75" hidden="false" customHeight="false" outlineLevel="0" collapsed="false">
      <c r="A132" s="323" t="s">
        <v>139</v>
      </c>
      <c r="B132" s="323" t="s">
        <v>346</v>
      </c>
      <c r="C132" s="324" t="s">
        <v>549</v>
      </c>
      <c r="D132" s="336" t="n">
        <f aca="false">D119</f>
        <v>650</v>
      </c>
      <c r="E132" s="325" t="n">
        <f aca="false">ROUNDDOWN(D132*0.95,0)</f>
        <v>617</v>
      </c>
      <c r="F132" s="325" t="n">
        <f aca="false">ROUNDDOWN(D132*0.9,0)</f>
        <v>585</v>
      </c>
      <c r="G132" s="326" t="n">
        <f aca="false">IF(tramo_prezo=1,D132,IF(tramo_prezo=2,E132,IF(tramo_prezo=3,F132,"error")))</f>
        <v>650</v>
      </c>
    </row>
    <row r="133" customFormat="false" ht="15" hidden="false" customHeight="false" outlineLevel="0" collapsed="false">
      <c r="D133" s="329"/>
      <c r="E133" s="329"/>
      <c r="F133" s="329"/>
      <c r="G133" s="330"/>
    </row>
    <row r="134" s="332" customFormat="true" ht="18.75" hidden="false" customHeight="false" outlineLevel="0" collapsed="false">
      <c r="A134" s="314"/>
      <c r="B134" s="315"/>
      <c r="C134" s="316" t="s">
        <v>348</v>
      </c>
      <c r="D134" s="315"/>
      <c r="E134" s="315"/>
      <c r="F134" s="315"/>
      <c r="G134" s="315"/>
      <c r="H134" s="331"/>
    </row>
    <row r="135" customFormat="false" ht="15.75" hidden="false" customHeight="false" outlineLevel="0" collapsed="false">
      <c r="A135" s="319"/>
      <c r="B135" s="319"/>
      <c r="C135" s="320" t="s">
        <v>349</v>
      </c>
      <c r="D135" s="333"/>
      <c r="E135" s="333"/>
      <c r="F135" s="333"/>
      <c r="G135" s="334"/>
      <c r="H135" s="331"/>
      <c r="I135" s="335"/>
      <c r="J135" s="335"/>
      <c r="K135" s="335"/>
      <c r="L135" s="335"/>
      <c r="M135" s="335"/>
      <c r="N135" s="335"/>
      <c r="O135" s="335"/>
      <c r="P135" s="335"/>
      <c r="Q135" s="335"/>
      <c r="R135" s="335"/>
      <c r="S135" s="335"/>
      <c r="T135" s="335"/>
      <c r="U135" s="335"/>
      <c r="V135" s="335"/>
      <c r="W135" s="335"/>
      <c r="X135" s="335"/>
      <c r="Y135" s="335"/>
      <c r="Z135" s="335"/>
      <c r="AA135" s="335"/>
      <c r="AB135" s="335"/>
      <c r="AC135" s="335"/>
      <c r="AD135" s="335"/>
      <c r="AE135" s="335"/>
      <c r="AF135" s="335"/>
      <c r="AG135" s="335"/>
      <c r="AH135" s="335"/>
      <c r="AI135" s="335"/>
      <c r="AJ135" s="335"/>
      <c r="AK135" s="335"/>
      <c r="AL135" s="335"/>
      <c r="AM135" s="335"/>
      <c r="AN135" s="335"/>
      <c r="AO135" s="335"/>
      <c r="AP135" s="335"/>
      <c r="AQ135" s="335"/>
      <c r="AR135" s="335"/>
      <c r="AS135" s="335"/>
      <c r="AT135" s="335"/>
      <c r="AU135" s="335"/>
      <c r="AV135" s="335"/>
      <c r="AW135" s="335"/>
      <c r="AX135" s="335"/>
      <c r="AY135" s="335"/>
      <c r="AZ135" s="335"/>
      <c r="BA135" s="335"/>
      <c r="BB135" s="335"/>
      <c r="BC135" s="335"/>
      <c r="BD135" s="335"/>
      <c r="BE135" s="335"/>
      <c r="BF135" s="335"/>
      <c r="BG135" s="335"/>
      <c r="BH135" s="335"/>
      <c r="BI135" s="335"/>
      <c r="BJ135" s="335"/>
      <c r="BK135" s="335"/>
      <c r="BL135" s="335"/>
    </row>
    <row r="136" customFormat="false" ht="22.5" hidden="false" customHeight="false" outlineLevel="0" collapsed="false">
      <c r="A136" s="323" t="s">
        <v>139</v>
      </c>
      <c r="B136" s="323" t="s">
        <v>352</v>
      </c>
      <c r="C136" s="324" t="s">
        <v>550</v>
      </c>
      <c r="D136" s="336" t="n">
        <v>345</v>
      </c>
      <c r="E136" s="325" t="n">
        <f aca="false">ROUNDDOWN(D136*0.95,0)</f>
        <v>327</v>
      </c>
      <c r="F136" s="325" t="n">
        <f aca="false">ROUNDDOWN(D136*0.9,0)</f>
        <v>310</v>
      </c>
      <c r="G136" s="326" t="n">
        <f aca="false">IF(tramo_prezo=1,D136,IF(tramo_prezo=2,E136,IF(tramo_prezo=3,F136,"error")))</f>
        <v>345</v>
      </c>
    </row>
    <row r="137" customFormat="false" ht="22.5" hidden="false" customHeight="false" outlineLevel="0" collapsed="false">
      <c r="A137" s="323" t="s">
        <v>139</v>
      </c>
      <c r="B137" s="323" t="s">
        <v>353</v>
      </c>
      <c r="C137" s="324" t="s">
        <v>551</v>
      </c>
      <c r="D137" s="336" t="n">
        <v>4701</v>
      </c>
      <c r="E137" s="325" t="n">
        <f aca="false">ROUNDDOWN(D137*0.95,0)</f>
        <v>4465</v>
      </c>
      <c r="F137" s="325" t="n">
        <f aca="false">ROUNDDOWN(D137*0.9,0)</f>
        <v>4230</v>
      </c>
      <c r="G137" s="326" t="n">
        <f aca="false">IF(tramo_prezo=1,D137,IF(tramo_prezo=2,E137,IF(tramo_prezo=3,F137,"error")))</f>
        <v>4701</v>
      </c>
    </row>
    <row r="138" customFormat="false" ht="15" hidden="false" customHeight="false" outlineLevel="0" collapsed="false">
      <c r="A138" s="323" t="s">
        <v>139</v>
      </c>
      <c r="B138" s="323" t="s">
        <v>355</v>
      </c>
      <c r="C138" s="324" t="s">
        <v>552</v>
      </c>
      <c r="D138" s="336" t="n">
        <v>23</v>
      </c>
      <c r="E138" s="325" t="n">
        <f aca="false">ROUNDDOWN(D138*0.95,0)</f>
        <v>21</v>
      </c>
      <c r="F138" s="325" t="n">
        <f aca="false">ROUNDDOWN(D138*0.9,0)</f>
        <v>20</v>
      </c>
      <c r="G138" s="326" t="n">
        <f aca="false">IF(tramo_prezo=1,D138,IF(tramo_prezo=2,E138,IF(tramo_prezo=3,F138,"error")))</f>
        <v>23</v>
      </c>
    </row>
    <row r="139" customFormat="false" ht="22.5" hidden="false" customHeight="false" outlineLevel="0" collapsed="false">
      <c r="A139" s="323" t="s">
        <v>139</v>
      </c>
      <c r="B139" s="323" t="s">
        <v>357</v>
      </c>
      <c r="C139" s="324" t="s">
        <v>553</v>
      </c>
      <c r="D139" s="336" t="n">
        <v>805</v>
      </c>
      <c r="E139" s="325" t="n">
        <f aca="false">ROUNDDOWN(D139*0.95,0)</f>
        <v>764</v>
      </c>
      <c r="F139" s="325" t="n">
        <f aca="false">ROUNDDOWN(D139*0.9,0)</f>
        <v>724</v>
      </c>
      <c r="G139" s="326" t="n">
        <f aca="false">IF(tramo_prezo=1,D139,IF(tramo_prezo=2,E139,IF(tramo_prezo=3,F139,"error")))</f>
        <v>805</v>
      </c>
    </row>
    <row r="140" customFormat="false" ht="33.75" hidden="false" customHeight="false" outlineLevel="0" collapsed="false">
      <c r="A140" s="323" t="s">
        <v>139</v>
      </c>
      <c r="B140" s="323" t="s">
        <v>554</v>
      </c>
      <c r="C140" s="324" t="s">
        <v>535</v>
      </c>
      <c r="D140" s="336" t="n">
        <f aca="false">D119</f>
        <v>650</v>
      </c>
      <c r="E140" s="325" t="n">
        <f aca="false">ROUNDDOWN(D140*0.95,0)</f>
        <v>617</v>
      </c>
      <c r="F140" s="325" t="n">
        <f aca="false">ROUNDDOWN(D140*0.9,0)</f>
        <v>585</v>
      </c>
      <c r="G140" s="326" t="n">
        <f aca="false">IF(tramo_prezo=1,D140,IF(tramo_prezo=2,E140,IF(tramo_prezo=3,F140,"error")))</f>
        <v>650</v>
      </c>
    </row>
    <row r="141" customFormat="false" ht="15" hidden="false" customHeight="false" outlineLevel="0" collapsed="false">
      <c r="D141" s="329"/>
      <c r="E141" s="329"/>
      <c r="F141" s="329"/>
      <c r="G141" s="330"/>
    </row>
    <row r="142" customFormat="false" ht="15.75" hidden="false" customHeight="false" outlineLevel="0" collapsed="false">
      <c r="A142" s="319"/>
      <c r="B142" s="319"/>
      <c r="C142" s="320" t="s">
        <v>555</v>
      </c>
      <c r="D142" s="333"/>
      <c r="E142" s="333"/>
      <c r="F142" s="333"/>
      <c r="G142" s="334"/>
      <c r="H142" s="331"/>
      <c r="I142" s="335"/>
      <c r="J142" s="335"/>
      <c r="K142" s="335"/>
      <c r="L142" s="335"/>
      <c r="M142" s="335"/>
      <c r="N142" s="335"/>
      <c r="O142" s="335"/>
      <c r="P142" s="335"/>
      <c r="Q142" s="335"/>
      <c r="R142" s="335"/>
      <c r="S142" s="335"/>
      <c r="T142" s="335"/>
      <c r="U142" s="335"/>
      <c r="V142" s="335"/>
      <c r="W142" s="335"/>
      <c r="X142" s="335"/>
      <c r="Y142" s="335"/>
      <c r="Z142" s="335"/>
      <c r="AA142" s="335"/>
      <c r="AB142" s="335"/>
      <c r="AC142" s="335"/>
      <c r="AD142" s="335"/>
      <c r="AE142" s="335"/>
      <c r="AF142" s="335"/>
      <c r="AG142" s="335"/>
      <c r="AH142" s="335"/>
      <c r="AI142" s="335"/>
      <c r="AJ142" s="335"/>
      <c r="AK142" s="335"/>
      <c r="AL142" s="335"/>
      <c r="AM142" s="335"/>
      <c r="AN142" s="335"/>
      <c r="AO142" s="335"/>
      <c r="AP142" s="335"/>
      <c r="AQ142" s="335"/>
      <c r="AR142" s="335"/>
      <c r="AS142" s="335"/>
      <c r="AT142" s="335"/>
      <c r="AU142" s="335"/>
      <c r="AV142" s="335"/>
      <c r="AW142" s="335"/>
      <c r="AX142" s="335"/>
      <c r="AY142" s="335"/>
      <c r="AZ142" s="335"/>
      <c r="BA142" s="335"/>
      <c r="BB142" s="335"/>
      <c r="BC142" s="335"/>
      <c r="BD142" s="335"/>
      <c r="BE142" s="335"/>
      <c r="BF142" s="335"/>
      <c r="BG142" s="335"/>
      <c r="BH142" s="335"/>
      <c r="BI142" s="335"/>
      <c r="BJ142" s="335"/>
      <c r="BK142" s="335"/>
      <c r="BL142" s="335"/>
    </row>
    <row r="143" customFormat="false" ht="22.5" hidden="false" customHeight="false" outlineLevel="0" collapsed="false">
      <c r="A143" s="323" t="s">
        <v>139</v>
      </c>
      <c r="B143" s="323" t="s">
        <v>556</v>
      </c>
      <c r="C143" s="324" t="s">
        <v>557</v>
      </c>
      <c r="D143" s="336" t="n">
        <v>58</v>
      </c>
      <c r="E143" s="325" t="n">
        <f aca="false">ROUNDDOWN(D143*0.95,0)</f>
        <v>55</v>
      </c>
      <c r="F143" s="325" t="n">
        <f aca="false">ROUNDDOWN(D143*0.9,0)</f>
        <v>52</v>
      </c>
      <c r="G143" s="326" t="n">
        <f aca="false">IF(tramo_prezo=1,D143,IF(tramo_prezo=2,E143,IF(tramo_prezo=3,F143,"error")))</f>
        <v>58</v>
      </c>
    </row>
    <row r="144" customFormat="false" ht="15" hidden="false" customHeight="false" outlineLevel="0" collapsed="false">
      <c r="A144" s="323" t="s">
        <v>139</v>
      </c>
      <c r="B144" s="323" t="s">
        <v>558</v>
      </c>
      <c r="C144" s="324" t="s">
        <v>559</v>
      </c>
      <c r="D144" s="336" t="n">
        <v>805</v>
      </c>
      <c r="E144" s="325" t="n">
        <f aca="false">ROUNDDOWN(D144*0.95,0)</f>
        <v>764</v>
      </c>
      <c r="F144" s="325" t="n">
        <f aca="false">ROUNDDOWN(D144*0.9,0)</f>
        <v>724</v>
      </c>
      <c r="G144" s="326" t="n">
        <f aca="false">IF(tramo_prezo=1,D144,IF(tramo_prezo=2,E144,IF(tramo_prezo=3,F144,"error")))</f>
        <v>805</v>
      </c>
    </row>
    <row r="145" customFormat="false" ht="15" hidden="false" customHeight="false" outlineLevel="0" collapsed="false">
      <c r="D145" s="329"/>
      <c r="E145" s="329"/>
      <c r="F145" s="329"/>
      <c r="G145" s="330"/>
    </row>
    <row r="146" s="332" customFormat="true" ht="18.75" hidden="false" customHeight="false" outlineLevel="0" collapsed="false">
      <c r="A146" s="314"/>
      <c r="B146" s="315"/>
      <c r="C146" s="316" t="s">
        <v>560</v>
      </c>
      <c r="D146" s="315"/>
      <c r="E146" s="315"/>
      <c r="F146" s="315"/>
      <c r="G146" s="315"/>
      <c r="H146" s="331"/>
    </row>
    <row r="147" customFormat="false" ht="15.75" hidden="false" customHeight="false" outlineLevel="0" collapsed="false">
      <c r="A147" s="319"/>
      <c r="B147" s="319"/>
      <c r="C147" s="320" t="s">
        <v>561</v>
      </c>
      <c r="D147" s="333"/>
      <c r="E147" s="333"/>
      <c r="F147" s="333"/>
      <c r="G147" s="334"/>
      <c r="H147" s="331"/>
      <c r="I147" s="335"/>
      <c r="J147" s="335"/>
      <c r="K147" s="335"/>
      <c r="L147" s="335"/>
      <c r="M147" s="335"/>
      <c r="N147" s="335"/>
      <c r="O147" s="335"/>
      <c r="P147" s="335"/>
      <c r="Q147" s="335"/>
      <c r="R147" s="335"/>
      <c r="S147" s="335"/>
      <c r="T147" s="335"/>
      <c r="U147" s="335"/>
      <c r="V147" s="335"/>
      <c r="W147" s="335"/>
      <c r="X147" s="335"/>
      <c r="Y147" s="335"/>
      <c r="Z147" s="335"/>
      <c r="AA147" s="335"/>
      <c r="AB147" s="335"/>
      <c r="AC147" s="335"/>
      <c r="AD147" s="335"/>
      <c r="AE147" s="335"/>
      <c r="AF147" s="335"/>
      <c r="AG147" s="335"/>
      <c r="AH147" s="335"/>
      <c r="AI147" s="335"/>
      <c r="AJ147" s="335"/>
      <c r="AK147" s="335"/>
      <c r="AL147" s="335"/>
      <c r="AM147" s="335"/>
      <c r="AN147" s="335"/>
      <c r="AO147" s="335"/>
      <c r="AP147" s="335"/>
      <c r="AQ147" s="335"/>
      <c r="AR147" s="335"/>
      <c r="AS147" s="335"/>
      <c r="AT147" s="335"/>
      <c r="AU147" s="335"/>
      <c r="AV147" s="335"/>
      <c r="AW147" s="335"/>
      <c r="AX147" s="335"/>
      <c r="AY147" s="335"/>
      <c r="AZ147" s="335"/>
      <c r="BA147" s="335"/>
      <c r="BB147" s="335"/>
      <c r="BC147" s="335"/>
      <c r="BD147" s="335"/>
      <c r="BE147" s="335"/>
      <c r="BF147" s="335"/>
      <c r="BG147" s="335"/>
      <c r="BH147" s="335"/>
      <c r="BI147" s="335"/>
      <c r="BJ147" s="335"/>
      <c r="BK147" s="335"/>
      <c r="BL147" s="335"/>
    </row>
    <row r="148" customFormat="false" ht="33.75" hidden="false" customHeight="false" outlineLevel="0" collapsed="false">
      <c r="A148" s="323" t="s">
        <v>139</v>
      </c>
      <c r="B148" s="323" t="s">
        <v>362</v>
      </c>
      <c r="C148" s="324" t="s">
        <v>562</v>
      </c>
      <c r="D148" s="336" t="n">
        <v>105</v>
      </c>
      <c r="E148" s="325" t="n">
        <f aca="false">ROUNDDOWN(D148*0.95,0)</f>
        <v>99</v>
      </c>
      <c r="F148" s="325" t="n">
        <f aca="false">ROUNDDOWN(D148*0.9,0)</f>
        <v>94</v>
      </c>
      <c r="G148" s="326" t="n">
        <f aca="false">IF(tramo_prezo=1,D148,IF(tramo_prezo=2,E148,IF(tramo_prezo=3,F148,"error")))</f>
        <v>105</v>
      </c>
    </row>
    <row r="149" customFormat="false" ht="22.5" hidden="false" customHeight="false" outlineLevel="0" collapsed="false">
      <c r="A149" s="323" t="s">
        <v>139</v>
      </c>
      <c r="B149" s="323" t="s">
        <v>563</v>
      </c>
      <c r="C149" s="324" t="s">
        <v>564</v>
      </c>
      <c r="D149" s="336" t="n">
        <v>23</v>
      </c>
      <c r="E149" s="325" t="n">
        <f aca="false">ROUNDDOWN(D149*0.95,0)</f>
        <v>21</v>
      </c>
      <c r="F149" s="325" t="n">
        <f aca="false">ROUNDDOWN(D149*0.9,0)</f>
        <v>20</v>
      </c>
      <c r="G149" s="326" t="n">
        <f aca="false">IF(tramo_prezo=1,D149,IF(tramo_prezo=2,E149,IF(tramo_prezo=3,F149,"error")))</f>
        <v>23</v>
      </c>
    </row>
    <row r="150" customFormat="false" ht="33.75" hidden="false" customHeight="false" outlineLevel="0" collapsed="false">
      <c r="A150" s="323" t="s">
        <v>139</v>
      </c>
      <c r="B150" s="323" t="s">
        <v>565</v>
      </c>
      <c r="C150" s="324" t="s">
        <v>566</v>
      </c>
      <c r="D150" s="336" t="n">
        <v>105</v>
      </c>
      <c r="E150" s="325" t="n">
        <f aca="false">ROUNDDOWN(D150*0.95,0)</f>
        <v>99</v>
      </c>
      <c r="F150" s="325" t="n">
        <f aca="false">ROUNDDOWN(D150*0.9,0)</f>
        <v>94</v>
      </c>
      <c r="G150" s="326" t="n">
        <f aca="false">IF(tramo_prezo=1,D150,IF(tramo_prezo=2,E150,IF(tramo_prezo=3,F150,"error")))</f>
        <v>105</v>
      </c>
    </row>
    <row r="151" customFormat="false" ht="45" hidden="false" customHeight="false" outlineLevel="0" collapsed="false">
      <c r="A151" s="323" t="s">
        <v>139</v>
      </c>
      <c r="B151" s="323" t="s">
        <v>371</v>
      </c>
      <c r="C151" s="324" t="s">
        <v>567</v>
      </c>
      <c r="D151" s="336" t="n">
        <v>350</v>
      </c>
      <c r="E151" s="325" t="n">
        <f aca="false">ROUNDDOWN(D151*0.95,0)</f>
        <v>332</v>
      </c>
      <c r="F151" s="325" t="n">
        <f aca="false">ROUNDDOWN(D151*0.9,0)</f>
        <v>315</v>
      </c>
      <c r="G151" s="326" t="n">
        <f aca="false">IF(tramo_prezo=1,D151,IF(tramo_prezo=2,E151,IF(tramo_prezo=3,F151,"error")))</f>
        <v>350</v>
      </c>
    </row>
    <row r="152" customFormat="false" ht="22.5" hidden="false" customHeight="false" outlineLevel="0" collapsed="false">
      <c r="A152" s="323" t="s">
        <v>139</v>
      </c>
      <c r="B152" s="323" t="s">
        <v>372</v>
      </c>
      <c r="C152" s="324" t="s">
        <v>568</v>
      </c>
      <c r="D152" s="336" t="n">
        <v>160</v>
      </c>
      <c r="E152" s="325" t="n">
        <f aca="false">ROUNDDOWN(D152*0.95,0)</f>
        <v>152</v>
      </c>
      <c r="F152" s="325" t="n">
        <f aca="false">ROUNDDOWN(D152*0.9,0)</f>
        <v>144</v>
      </c>
      <c r="G152" s="326" t="n">
        <f aca="false">IF(tramo_prezo=1,D152,IF(tramo_prezo=2,E152,IF(tramo_prezo=3,F152,"error")))</f>
        <v>160</v>
      </c>
    </row>
    <row r="153" customFormat="false" ht="33.75" hidden="false" customHeight="false" outlineLevel="0" collapsed="false">
      <c r="A153" s="323" t="s">
        <v>139</v>
      </c>
      <c r="B153" s="323" t="s">
        <v>569</v>
      </c>
      <c r="C153" s="324" t="s">
        <v>570</v>
      </c>
      <c r="D153" s="336" t="n">
        <v>140</v>
      </c>
      <c r="E153" s="325" t="n">
        <f aca="false">ROUNDDOWN(D153*0.95,0)</f>
        <v>133</v>
      </c>
      <c r="F153" s="325" t="n">
        <f aca="false">ROUNDDOWN(D153*0.9,0)</f>
        <v>126</v>
      </c>
      <c r="G153" s="326" t="n">
        <f aca="false">IF(tramo_prezo=1,D153,IF(tramo_prezo=2,E153,IF(tramo_prezo=3,F153,"error")))</f>
        <v>140</v>
      </c>
    </row>
    <row r="154" customFormat="false" ht="33.75" hidden="false" customHeight="false" outlineLevel="0" collapsed="false">
      <c r="A154" s="323" t="s">
        <v>139</v>
      </c>
      <c r="B154" s="323" t="s">
        <v>571</v>
      </c>
      <c r="C154" s="324" t="s">
        <v>572</v>
      </c>
      <c r="D154" s="336" t="n">
        <v>170</v>
      </c>
      <c r="E154" s="325" t="n">
        <f aca="false">ROUNDDOWN(D154*0.95,0)</f>
        <v>161</v>
      </c>
      <c r="F154" s="325" t="n">
        <f aca="false">ROUNDDOWN(D154*0.9,0)</f>
        <v>153</v>
      </c>
      <c r="G154" s="326" t="n">
        <f aca="false">IF(tramo_prezo=1,D154,IF(tramo_prezo=2,E154,IF(tramo_prezo=3,F154,"error")))</f>
        <v>170</v>
      </c>
    </row>
    <row r="155" customFormat="false" ht="33.75" hidden="false" customHeight="false" outlineLevel="0" collapsed="false">
      <c r="A155" s="323" t="s">
        <v>139</v>
      </c>
      <c r="B155" s="323" t="s">
        <v>573</v>
      </c>
      <c r="C155" s="324" t="s">
        <v>574</v>
      </c>
      <c r="D155" s="336" t="n">
        <v>285</v>
      </c>
      <c r="E155" s="325" t="n">
        <f aca="false">ROUNDDOWN(D155*0.95,0)</f>
        <v>270</v>
      </c>
      <c r="F155" s="325" t="n">
        <f aca="false">ROUNDDOWN(D155*0.9,0)</f>
        <v>256</v>
      </c>
      <c r="G155" s="326" t="n">
        <f aca="false">IF(tramo_prezo=1,D155,IF(tramo_prezo=2,E155,IF(tramo_prezo=3,F155,"error")))</f>
        <v>285</v>
      </c>
    </row>
    <row r="156" customFormat="false" ht="15" hidden="false" customHeight="false" outlineLevel="0" collapsed="false">
      <c r="A156" s="323" t="s">
        <v>139</v>
      </c>
      <c r="B156" s="323" t="s">
        <v>575</v>
      </c>
      <c r="C156" s="324" t="s">
        <v>576</v>
      </c>
      <c r="D156" s="336" t="n">
        <v>60</v>
      </c>
      <c r="E156" s="325" t="n">
        <f aca="false">ROUNDDOWN(D156*0.95,0)</f>
        <v>57</v>
      </c>
      <c r="F156" s="325" t="n">
        <f aca="false">ROUNDDOWN(D156*0.9,0)</f>
        <v>54</v>
      </c>
      <c r="G156" s="326" t="n">
        <f aca="false">IF(tramo_prezo=1,D156,IF(tramo_prezo=2,E156,IF(tramo_prezo=3,F156,"error")))</f>
        <v>60</v>
      </c>
    </row>
    <row r="157" customFormat="false" ht="15" hidden="false" customHeight="false" outlineLevel="0" collapsed="false">
      <c r="A157" s="323" t="s">
        <v>139</v>
      </c>
      <c r="B157" s="323" t="s">
        <v>577</v>
      </c>
      <c r="C157" s="324" t="s">
        <v>578</v>
      </c>
      <c r="D157" s="336" t="n">
        <v>35</v>
      </c>
      <c r="E157" s="325" t="n">
        <f aca="false">ROUNDDOWN(D157*0.95,0)</f>
        <v>33</v>
      </c>
      <c r="F157" s="325" t="n">
        <f aca="false">ROUNDDOWN(D157*0.9,0)</f>
        <v>31</v>
      </c>
      <c r="G157" s="326" t="n">
        <f aca="false">IF(tramo_prezo=1,D157,IF(tramo_prezo=2,E157,IF(tramo_prezo=3,F157,"error")))</f>
        <v>35</v>
      </c>
    </row>
    <row r="158" customFormat="false" ht="15" hidden="false" customHeight="false" outlineLevel="0" collapsed="false">
      <c r="A158" s="323" t="s">
        <v>139</v>
      </c>
      <c r="B158" s="323" t="s">
        <v>579</v>
      </c>
      <c r="C158" s="324" t="s">
        <v>580</v>
      </c>
      <c r="D158" s="336" t="n">
        <v>100</v>
      </c>
      <c r="E158" s="325" t="n">
        <f aca="false">ROUNDDOWN(D158*0.95,0)</f>
        <v>95</v>
      </c>
      <c r="F158" s="325" t="n">
        <f aca="false">ROUNDDOWN(D158*0.9,0)</f>
        <v>90</v>
      </c>
      <c r="G158" s="326" t="n">
        <f aca="false">IF(tramo_prezo=1,D158,IF(tramo_prezo=2,E158,IF(tramo_prezo=3,F158,"error")))</f>
        <v>100</v>
      </c>
    </row>
    <row r="159" customFormat="false" ht="22.5" hidden="false" customHeight="false" outlineLevel="0" collapsed="false">
      <c r="A159" s="323" t="s">
        <v>139</v>
      </c>
      <c r="B159" s="323" t="s">
        <v>581</v>
      </c>
      <c r="C159" s="324" t="s">
        <v>582</v>
      </c>
      <c r="D159" s="336" t="n">
        <v>138</v>
      </c>
      <c r="E159" s="325" t="n">
        <f aca="false">ROUNDDOWN(D159*0.95,0)</f>
        <v>131</v>
      </c>
      <c r="F159" s="325" t="n">
        <f aca="false">ROUNDDOWN(D159*0.9,0)</f>
        <v>124</v>
      </c>
      <c r="G159" s="326" t="n">
        <f aca="false">IF(tramo_prezo=1,D159,IF(tramo_prezo=2,E159,IF(tramo_prezo=3,F159,"error")))</f>
        <v>138</v>
      </c>
    </row>
    <row r="160" customFormat="false" ht="15.75" hidden="false" customHeight="false" outlineLevel="0" collapsed="false">
      <c r="A160" s="319"/>
      <c r="B160" s="319"/>
      <c r="C160" s="320" t="s">
        <v>583</v>
      </c>
      <c r="D160" s="333"/>
      <c r="E160" s="333"/>
      <c r="F160" s="333"/>
      <c r="G160" s="334"/>
      <c r="H160" s="331"/>
      <c r="I160" s="335"/>
      <c r="J160" s="335"/>
      <c r="K160" s="335"/>
      <c r="L160" s="335"/>
      <c r="M160" s="335"/>
      <c r="N160" s="335"/>
      <c r="O160" s="335"/>
      <c r="P160" s="335"/>
      <c r="Q160" s="335"/>
      <c r="R160" s="335"/>
      <c r="S160" s="335"/>
      <c r="T160" s="335"/>
      <c r="U160" s="335"/>
      <c r="V160" s="335"/>
      <c r="W160" s="335"/>
      <c r="X160" s="335"/>
      <c r="Y160" s="335"/>
      <c r="Z160" s="335"/>
      <c r="AA160" s="335"/>
      <c r="AB160" s="335"/>
      <c r="AC160" s="335"/>
      <c r="AD160" s="335"/>
      <c r="AE160" s="335"/>
      <c r="AF160" s="335"/>
      <c r="AG160" s="335"/>
      <c r="AH160" s="335"/>
      <c r="AI160" s="335"/>
      <c r="AJ160" s="335"/>
      <c r="AK160" s="335"/>
      <c r="AL160" s="335"/>
      <c r="AM160" s="335"/>
      <c r="AN160" s="335"/>
      <c r="AO160" s="335"/>
      <c r="AP160" s="335"/>
      <c r="AQ160" s="335"/>
      <c r="AR160" s="335"/>
      <c r="AS160" s="335"/>
      <c r="AT160" s="335"/>
      <c r="AU160" s="335"/>
      <c r="AV160" s="335"/>
      <c r="AW160" s="335"/>
      <c r="AX160" s="335"/>
      <c r="AY160" s="335"/>
      <c r="AZ160" s="335"/>
      <c r="BA160" s="335"/>
      <c r="BB160" s="335"/>
      <c r="BC160" s="335"/>
      <c r="BD160" s="335"/>
      <c r="BE160" s="335"/>
      <c r="BF160" s="335"/>
      <c r="BG160" s="335"/>
      <c r="BH160" s="335"/>
      <c r="BI160" s="335"/>
      <c r="BJ160" s="335"/>
      <c r="BK160" s="335"/>
      <c r="BL160" s="335"/>
    </row>
    <row r="161" customFormat="false" ht="33.75" hidden="false" customHeight="false" outlineLevel="0" collapsed="false">
      <c r="A161" s="323" t="s">
        <v>139</v>
      </c>
      <c r="B161" s="323" t="s">
        <v>378</v>
      </c>
      <c r="C161" s="324" t="s">
        <v>584</v>
      </c>
      <c r="D161" s="336" t="n">
        <v>115</v>
      </c>
      <c r="E161" s="325" t="n">
        <f aca="false">ROUNDDOWN(D161*0.95,0)</f>
        <v>109</v>
      </c>
      <c r="F161" s="325" t="n">
        <f aca="false">ROUNDDOWN(D161*0.9,0)</f>
        <v>103</v>
      </c>
      <c r="G161" s="326" t="n">
        <f aca="false">IF(tramo_prezo=1,D161,IF(tramo_prezo=2,E161,IF(tramo_prezo=3,F161,"error")))</f>
        <v>115</v>
      </c>
    </row>
    <row r="162" customFormat="false" ht="22.5" hidden="false" customHeight="false" outlineLevel="0" collapsed="false">
      <c r="A162" s="323" t="s">
        <v>139</v>
      </c>
      <c r="B162" s="323" t="s">
        <v>381</v>
      </c>
      <c r="C162" s="324" t="s">
        <v>585</v>
      </c>
      <c r="D162" s="336" t="n">
        <v>30</v>
      </c>
      <c r="E162" s="325" t="n">
        <f aca="false">ROUNDDOWN(D162*0.95,0)</f>
        <v>28</v>
      </c>
      <c r="F162" s="325" t="n">
        <f aca="false">ROUNDDOWN(D162*0.9,0)</f>
        <v>27</v>
      </c>
      <c r="G162" s="326" t="n">
        <f aca="false">IF(tramo_prezo=1,D162,IF(tramo_prezo=2,E162,IF(tramo_prezo=3,F162,"error")))</f>
        <v>30</v>
      </c>
    </row>
    <row r="163" customFormat="false" ht="22.5" hidden="false" customHeight="false" outlineLevel="0" collapsed="false">
      <c r="A163" s="323" t="s">
        <v>139</v>
      </c>
      <c r="B163" s="323" t="s">
        <v>382</v>
      </c>
      <c r="C163" s="324" t="s">
        <v>586</v>
      </c>
      <c r="D163" s="336" t="n">
        <v>345</v>
      </c>
      <c r="E163" s="325" t="n">
        <f aca="false">ROUNDDOWN(D163*0.95,0)</f>
        <v>327</v>
      </c>
      <c r="F163" s="325" t="n">
        <f aca="false">ROUNDDOWN(D163*0.9,0)</f>
        <v>310</v>
      </c>
      <c r="G163" s="326" t="n">
        <f aca="false">IF(tramo_prezo=1,D163,IF(tramo_prezo=2,E163,IF(tramo_prezo=3,F163,"error")))</f>
        <v>345</v>
      </c>
    </row>
    <row r="164" customFormat="false" ht="33.75" hidden="false" customHeight="false" outlineLevel="0" collapsed="false">
      <c r="A164" s="323" t="s">
        <v>139</v>
      </c>
      <c r="B164" s="323" t="s">
        <v>587</v>
      </c>
      <c r="C164" s="324" t="s">
        <v>588</v>
      </c>
      <c r="D164" s="336" t="n">
        <v>47</v>
      </c>
      <c r="E164" s="325" t="n">
        <f aca="false">ROUNDDOWN(D164*0.95,0)</f>
        <v>44</v>
      </c>
      <c r="F164" s="325" t="n">
        <f aca="false">ROUNDDOWN(D164*0.9,0)</f>
        <v>42</v>
      </c>
      <c r="G164" s="326" t="n">
        <f aca="false">IF(tramo_prezo=1,D164,IF(tramo_prezo=2,E164,IF(tramo_prezo=3,F164,"error")))</f>
        <v>47</v>
      </c>
    </row>
    <row r="165" customFormat="false" ht="22.5" hidden="false" customHeight="false" outlineLevel="0" collapsed="false">
      <c r="A165" s="323" t="s">
        <v>139</v>
      </c>
      <c r="B165" s="323" t="s">
        <v>589</v>
      </c>
      <c r="C165" s="324" t="s">
        <v>590</v>
      </c>
      <c r="D165" s="336" t="n">
        <v>15</v>
      </c>
      <c r="E165" s="325" t="n">
        <f aca="false">ROUNDDOWN(D165*0.95,0)</f>
        <v>14</v>
      </c>
      <c r="F165" s="325" t="n">
        <f aca="false">ROUNDDOWN(D165*0.9,0)</f>
        <v>13</v>
      </c>
      <c r="G165" s="326" t="n">
        <f aca="false">IF(tramo_prezo=1,D165,IF(tramo_prezo=2,E165,IF(tramo_prezo=3,F165,"error")))</f>
        <v>15</v>
      </c>
    </row>
    <row r="166" customFormat="false" ht="22.5" hidden="false" customHeight="false" outlineLevel="0" collapsed="false">
      <c r="A166" s="323" t="s">
        <v>139</v>
      </c>
      <c r="B166" s="323" t="s">
        <v>591</v>
      </c>
      <c r="C166" s="324" t="s">
        <v>592</v>
      </c>
      <c r="D166" s="336" t="n">
        <v>15</v>
      </c>
      <c r="E166" s="325" t="n">
        <f aca="false">ROUNDDOWN(D166*0.95,0)</f>
        <v>14</v>
      </c>
      <c r="F166" s="325" t="n">
        <f aca="false">ROUNDDOWN(D166*0.9,0)</f>
        <v>13</v>
      </c>
      <c r="G166" s="326" t="n">
        <f aca="false">IF(tramo_prezo=1,D166,IF(tramo_prezo=2,E166,IF(tramo_prezo=3,F166,"error")))</f>
        <v>15</v>
      </c>
    </row>
    <row r="167" customFormat="false" ht="33.75" hidden="false" customHeight="false" outlineLevel="0" collapsed="false">
      <c r="A167" s="323" t="s">
        <v>139</v>
      </c>
      <c r="B167" s="323" t="s">
        <v>593</v>
      </c>
      <c r="C167" s="324" t="s">
        <v>594</v>
      </c>
      <c r="D167" s="336" t="n">
        <v>30</v>
      </c>
      <c r="E167" s="325" t="n">
        <f aca="false">ROUNDDOWN(D167*0.95,0)</f>
        <v>28</v>
      </c>
      <c r="F167" s="325" t="n">
        <f aca="false">ROUNDDOWN(D167*0.9,0)</f>
        <v>27</v>
      </c>
      <c r="G167" s="326" t="n">
        <f aca="false">IF(tramo_prezo=1,D167,IF(tramo_prezo=2,E167,IF(tramo_prezo=3,F167,"error")))</f>
        <v>30</v>
      </c>
    </row>
    <row r="168" customFormat="false" ht="22.5" hidden="false" customHeight="false" outlineLevel="0" collapsed="false">
      <c r="A168" s="323" t="s">
        <v>139</v>
      </c>
      <c r="B168" s="323" t="s">
        <v>595</v>
      </c>
      <c r="C168" s="324" t="s">
        <v>596</v>
      </c>
      <c r="D168" s="336" t="n">
        <v>120</v>
      </c>
      <c r="E168" s="325" t="n">
        <f aca="false">ROUNDDOWN(D168*0.95,0)</f>
        <v>114</v>
      </c>
      <c r="F168" s="325" t="n">
        <f aca="false">ROUNDDOWN(D168*0.9,0)</f>
        <v>108</v>
      </c>
      <c r="G168" s="326" t="n">
        <f aca="false">IF(tramo_prezo=1,D168,IF(tramo_prezo=2,E168,IF(tramo_prezo=3,F168,"error")))</f>
        <v>120</v>
      </c>
    </row>
    <row r="169" customFormat="false" ht="22.5" hidden="false" customHeight="false" outlineLevel="0" collapsed="false">
      <c r="A169" s="323" t="s">
        <v>139</v>
      </c>
      <c r="B169" s="323" t="s">
        <v>597</v>
      </c>
      <c r="C169" s="324" t="s">
        <v>598</v>
      </c>
      <c r="D169" s="336" t="n">
        <v>53</v>
      </c>
      <c r="E169" s="325" t="n">
        <f aca="false">ROUNDDOWN(D169*0.95,0)</f>
        <v>50</v>
      </c>
      <c r="F169" s="325" t="n">
        <f aca="false">ROUNDDOWN(D169*0.9,0)</f>
        <v>47</v>
      </c>
      <c r="G169" s="326" t="n">
        <f aca="false">IF(tramo_prezo=1,D169,IF(tramo_prezo=2,E169,IF(tramo_prezo=3,F169,"error")))</f>
        <v>53</v>
      </c>
    </row>
    <row r="170" customFormat="false" ht="22.5" hidden="false" customHeight="false" outlineLevel="0" collapsed="false">
      <c r="A170" s="323" t="s">
        <v>139</v>
      </c>
      <c r="B170" s="323" t="s">
        <v>599</v>
      </c>
      <c r="C170" s="324" t="s">
        <v>600</v>
      </c>
      <c r="D170" s="336" t="n">
        <v>67</v>
      </c>
      <c r="E170" s="325" t="n">
        <f aca="false">ROUNDDOWN(D170*0.95,0)</f>
        <v>63</v>
      </c>
      <c r="F170" s="325" t="n">
        <f aca="false">ROUNDDOWN(D170*0.9,0)</f>
        <v>60</v>
      </c>
      <c r="G170" s="326" t="n">
        <f aca="false">IF(tramo_prezo=1,D170,IF(tramo_prezo=2,E170,IF(tramo_prezo=3,F170,"error")))</f>
        <v>67</v>
      </c>
    </row>
    <row r="171" customFormat="false" ht="33.75" hidden="false" customHeight="false" outlineLevel="0" collapsed="false">
      <c r="A171" s="323" t="s">
        <v>139</v>
      </c>
      <c r="B171" s="323" t="s">
        <v>601</v>
      </c>
      <c r="C171" s="324" t="s">
        <v>602</v>
      </c>
      <c r="D171" s="336" t="n">
        <v>47</v>
      </c>
      <c r="E171" s="325" t="n">
        <f aca="false">ROUNDDOWN(D171*0.95,0)</f>
        <v>44</v>
      </c>
      <c r="F171" s="325" t="n">
        <f aca="false">ROUNDDOWN(D171*0.9,0)</f>
        <v>42</v>
      </c>
      <c r="G171" s="326" t="n">
        <f aca="false">IF(tramo_prezo=1,D171,IF(tramo_prezo=2,E171,IF(tramo_prezo=3,F171,"error")))</f>
        <v>47</v>
      </c>
    </row>
    <row r="172" customFormat="false" ht="15.75" hidden="false" customHeight="false" outlineLevel="0" collapsed="false">
      <c r="A172" s="319"/>
      <c r="B172" s="319"/>
      <c r="C172" s="320" t="s">
        <v>603</v>
      </c>
      <c r="D172" s="333"/>
      <c r="E172" s="333"/>
      <c r="F172" s="333"/>
      <c r="G172" s="334"/>
      <c r="H172" s="331"/>
      <c r="I172" s="335"/>
      <c r="J172" s="335"/>
      <c r="K172" s="335"/>
      <c r="L172" s="335"/>
      <c r="M172" s="335"/>
      <c r="N172" s="335"/>
      <c r="O172" s="335"/>
      <c r="P172" s="335"/>
      <c r="Q172" s="335"/>
      <c r="R172" s="335"/>
      <c r="S172" s="335"/>
      <c r="T172" s="335"/>
      <c r="U172" s="335"/>
      <c r="V172" s="335"/>
      <c r="W172" s="335"/>
      <c r="X172" s="335"/>
      <c r="Y172" s="335"/>
      <c r="Z172" s="335"/>
      <c r="AA172" s="335"/>
      <c r="AB172" s="335"/>
      <c r="AC172" s="335"/>
      <c r="AD172" s="335"/>
      <c r="AE172" s="335"/>
      <c r="AF172" s="335"/>
      <c r="AG172" s="335"/>
      <c r="AH172" s="335"/>
      <c r="AI172" s="335"/>
      <c r="AJ172" s="335"/>
      <c r="AK172" s="335"/>
      <c r="AL172" s="335"/>
      <c r="AM172" s="335"/>
      <c r="AN172" s="335"/>
      <c r="AO172" s="335"/>
      <c r="AP172" s="335"/>
      <c r="AQ172" s="335"/>
      <c r="AR172" s="335"/>
      <c r="AS172" s="335"/>
      <c r="AT172" s="335"/>
      <c r="AU172" s="335"/>
      <c r="AV172" s="335"/>
      <c r="AW172" s="335"/>
      <c r="AX172" s="335"/>
      <c r="AY172" s="335"/>
      <c r="AZ172" s="335"/>
      <c r="BA172" s="335"/>
      <c r="BB172" s="335"/>
      <c r="BC172" s="335"/>
      <c r="BD172" s="335"/>
      <c r="BE172" s="335"/>
      <c r="BF172" s="335"/>
      <c r="BG172" s="335"/>
      <c r="BH172" s="335"/>
      <c r="BI172" s="335"/>
      <c r="BJ172" s="335"/>
      <c r="BK172" s="335"/>
      <c r="BL172" s="335"/>
    </row>
    <row r="173" customFormat="false" ht="45" hidden="false" customHeight="false" outlineLevel="0" collapsed="false">
      <c r="A173" s="323" t="s">
        <v>139</v>
      </c>
      <c r="B173" s="323" t="s">
        <v>387</v>
      </c>
      <c r="C173" s="324" t="s">
        <v>604</v>
      </c>
      <c r="D173" s="336" t="n">
        <v>800</v>
      </c>
      <c r="E173" s="325" t="n">
        <f aca="false">ROUNDDOWN(D173*0.95,0)</f>
        <v>760</v>
      </c>
      <c r="F173" s="325" t="n">
        <f aca="false">ROUNDDOWN(D173*0.9,0)</f>
        <v>720</v>
      </c>
      <c r="G173" s="326" t="n">
        <f aca="false">IF(tramo_prezo=1,D173,IF(tramo_prezo=2,E173,IF(tramo_prezo=3,F173,"error")))</f>
        <v>800</v>
      </c>
    </row>
    <row r="174" customFormat="false" ht="15.75" hidden="false" customHeight="false" outlineLevel="0" collapsed="false">
      <c r="A174" s="319"/>
      <c r="B174" s="319"/>
      <c r="C174" s="320" t="s">
        <v>605</v>
      </c>
      <c r="D174" s="333"/>
      <c r="E174" s="333"/>
      <c r="F174" s="333"/>
      <c r="G174" s="334"/>
      <c r="H174" s="331"/>
      <c r="I174" s="335"/>
      <c r="J174" s="335"/>
      <c r="K174" s="335"/>
      <c r="L174" s="335"/>
      <c r="M174" s="335"/>
      <c r="N174" s="335"/>
      <c r="O174" s="335"/>
      <c r="P174" s="335"/>
      <c r="Q174" s="335"/>
      <c r="R174" s="335"/>
      <c r="S174" s="335"/>
      <c r="T174" s="335"/>
      <c r="U174" s="335"/>
      <c r="V174" s="335"/>
      <c r="W174" s="335"/>
      <c r="X174" s="335"/>
      <c r="Y174" s="335"/>
      <c r="Z174" s="335"/>
      <c r="AA174" s="335"/>
      <c r="AB174" s="335"/>
      <c r="AC174" s="335"/>
      <c r="AD174" s="335"/>
      <c r="AE174" s="335"/>
      <c r="AF174" s="335"/>
      <c r="AG174" s="335"/>
      <c r="AH174" s="335"/>
      <c r="AI174" s="335"/>
      <c r="AJ174" s="335"/>
      <c r="AK174" s="335"/>
      <c r="AL174" s="335"/>
      <c r="AM174" s="335"/>
      <c r="AN174" s="335"/>
      <c r="AO174" s="335"/>
      <c r="AP174" s="335"/>
      <c r="AQ174" s="335"/>
      <c r="AR174" s="335"/>
      <c r="AS174" s="335"/>
      <c r="AT174" s="335"/>
      <c r="AU174" s="335"/>
      <c r="AV174" s="335"/>
      <c r="AW174" s="335"/>
      <c r="AX174" s="335"/>
      <c r="AY174" s="335"/>
      <c r="AZ174" s="335"/>
      <c r="BA174" s="335"/>
      <c r="BB174" s="335"/>
      <c r="BC174" s="335"/>
      <c r="BD174" s="335"/>
      <c r="BE174" s="335"/>
      <c r="BF174" s="335"/>
      <c r="BG174" s="335"/>
      <c r="BH174" s="335"/>
      <c r="BI174" s="335"/>
      <c r="BJ174" s="335"/>
      <c r="BK174" s="335"/>
      <c r="BL174" s="335"/>
    </row>
    <row r="175" customFormat="false" ht="22.5" hidden="false" customHeight="false" outlineLevel="0" collapsed="false">
      <c r="A175" s="323" t="s">
        <v>139</v>
      </c>
      <c r="B175" s="323" t="s">
        <v>392</v>
      </c>
      <c r="C175" s="324" t="s">
        <v>606</v>
      </c>
      <c r="D175" s="336" t="n">
        <v>58</v>
      </c>
      <c r="E175" s="325" t="n">
        <f aca="false">ROUNDDOWN(D175*0.95,0)</f>
        <v>55</v>
      </c>
      <c r="F175" s="325" t="n">
        <f aca="false">ROUNDDOWN(D175*0.9,0)</f>
        <v>52</v>
      </c>
      <c r="G175" s="326" t="n">
        <f aca="false">IF(tramo_prezo=1,D175,IF(tramo_prezo=2,E175,IF(tramo_prezo=3,F175,"error")))</f>
        <v>58</v>
      </c>
    </row>
    <row r="176" customFormat="false" ht="22.5" hidden="false" customHeight="false" outlineLevel="0" collapsed="false">
      <c r="A176" s="323" t="s">
        <v>139</v>
      </c>
      <c r="B176" s="323" t="s">
        <v>607</v>
      </c>
      <c r="C176" s="324" t="s">
        <v>608</v>
      </c>
      <c r="D176" s="336" t="n">
        <v>138</v>
      </c>
      <c r="E176" s="325" t="n">
        <f aca="false">ROUNDDOWN(D176*0.95,0)</f>
        <v>131</v>
      </c>
      <c r="F176" s="325" t="n">
        <f aca="false">ROUNDDOWN(D176*0.9,0)</f>
        <v>124</v>
      </c>
      <c r="G176" s="326" t="n">
        <f aca="false">IF(tramo_prezo=1,D176,IF(tramo_prezo=2,E176,IF(tramo_prezo=3,F176,"error")))</f>
        <v>138</v>
      </c>
    </row>
    <row r="177" customFormat="false" ht="15" hidden="false" customHeight="false" outlineLevel="0" collapsed="false">
      <c r="A177" s="323" t="s">
        <v>139</v>
      </c>
      <c r="B177" s="323" t="s">
        <v>609</v>
      </c>
      <c r="C177" s="324" t="s">
        <v>610</v>
      </c>
      <c r="D177" s="325" t="n">
        <v>25</v>
      </c>
      <c r="E177" s="325" t="n">
        <f aca="false">ROUNDDOWN(D177*0.95,0)</f>
        <v>23</v>
      </c>
      <c r="F177" s="325" t="n">
        <f aca="false">ROUNDDOWN(D177*0.9,0)</f>
        <v>22</v>
      </c>
      <c r="G177" s="326" t="n">
        <f aca="false">IF(tramo_prezo=1,D177,IF(tramo_prezo=2,E177,IF(tramo_prezo=3,F177,"error")))</f>
        <v>25</v>
      </c>
    </row>
    <row r="178" customFormat="false" ht="15" hidden="false" customHeight="false" outlineLevel="0" collapsed="false">
      <c r="B178" s="323" t="s">
        <v>611</v>
      </c>
      <c r="D178" s="329"/>
      <c r="E178" s="329"/>
      <c r="F178" s="329"/>
      <c r="G178" s="330"/>
    </row>
    <row r="179" s="332" customFormat="true" ht="18.75" hidden="false" customHeight="false" outlineLevel="0" collapsed="false">
      <c r="A179" s="314"/>
      <c r="B179" s="315"/>
      <c r="C179" s="316" t="s">
        <v>612</v>
      </c>
      <c r="D179" s="315"/>
      <c r="E179" s="315"/>
      <c r="F179" s="315"/>
      <c r="G179" s="315"/>
      <c r="H179" s="331"/>
    </row>
    <row r="180" customFormat="false" ht="15" hidden="false" customHeight="false" outlineLevel="0" collapsed="false">
      <c r="A180" s="323" t="s">
        <v>139</v>
      </c>
      <c r="B180" s="323" t="s">
        <v>397</v>
      </c>
      <c r="C180" s="324" t="s">
        <v>613</v>
      </c>
      <c r="D180" s="336" t="n">
        <v>575</v>
      </c>
      <c r="E180" s="325" t="n">
        <f aca="false">ROUNDDOWN(D180*0.95,0)</f>
        <v>546</v>
      </c>
      <c r="F180" s="325" t="n">
        <f aca="false">ROUNDDOWN(D180*0.9,0)</f>
        <v>517</v>
      </c>
      <c r="G180" s="326" t="n">
        <f aca="false">IF(tramo_prezo=1,D180,IF(tramo_prezo=2,E180,IF(tramo_prezo=3,F180,"error")))</f>
        <v>575</v>
      </c>
    </row>
    <row r="181" customFormat="false" ht="33.75" hidden="false" customHeight="false" outlineLevel="0" collapsed="false">
      <c r="A181" s="323" t="s">
        <v>344</v>
      </c>
      <c r="B181" s="323" t="s">
        <v>399</v>
      </c>
      <c r="C181" s="324" t="s">
        <v>614</v>
      </c>
      <c r="D181" s="336" t="n">
        <v>3</v>
      </c>
      <c r="E181" s="325" t="n">
        <f aca="false">ROUNDDOWN(D181*0.95,0)</f>
        <v>2</v>
      </c>
      <c r="F181" s="325" t="n">
        <f aca="false">ROUNDDOWN(D181*0.9,0)</f>
        <v>2</v>
      </c>
      <c r="G181" s="326" t="n">
        <f aca="false">IF(tramo_prezo=1,D181,IF(tramo_prezo=2,E181,IF(tramo_prezo=3,F181,"error")))</f>
        <v>3</v>
      </c>
    </row>
  </sheetData>
  <autoFilter ref="A7:G181"/>
  <mergeCells count="2">
    <mergeCell ref="A5:C5"/>
    <mergeCell ref="D5:G5"/>
  </mergeCells>
  <printOptions headings="false" gridLines="false" gridLinesSet="true" horizontalCentered="false" verticalCentered="false"/>
  <pageMargins left="0.7875" right="0.7875" top="1.025" bottom="1.025" header="0.7875" footer="0.7875"/>
  <pageSetup paperSize="9" scale="100" fitToWidth="1" fitToHeight="0" pageOrder="downThenOver" orientation="landscape" blackAndWhite="false" draft="false" cellComments="none" firstPageNumber="1" useFirstPageNumber="true" horizontalDpi="300" verticalDpi="300" copies="1"/>
  <headerFooter differentFirst="false" differentOddEven="false">
    <oddHeader>&amp;C&amp;"Arial,Normal"&amp;10&amp;A</oddHeader>
    <oddFooter>&amp;C&amp;"Arial,Normal"&amp;10Página &amp;P</oddFooter>
  </headerFooter>
  <colBreaks count="1" manualBreakCount="1">
    <brk id="6" man="true" max="65535" min="0"/>
  </colBreaks>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3:P30"/>
  <sheetViews>
    <sheetView showFormulas="false" showGridLines="true" showRowColHeaders="true" showZeros="true" rightToLeft="false" tabSelected="false" showOutlineSymbols="true" defaultGridColor="true" view="normal" topLeftCell="B1" colorId="64" zoomScale="90" zoomScaleNormal="90" zoomScalePageLayoutView="100" workbookViewId="0">
      <selection pane="topLeft" activeCell="B31" activeCellId="0" sqref="B31"/>
    </sheetView>
  </sheetViews>
  <sheetFormatPr defaultColWidth="11.58984375" defaultRowHeight="15" zeroHeight="false" outlineLevelRow="0" outlineLevelCol="0"/>
  <cols>
    <col collapsed="false" customWidth="false" hidden="false" outlineLevel="0" max="1" min="1" style="114" width="11.57"/>
    <col collapsed="false" customWidth="true" hidden="false" outlineLevel="0" max="2" min="2" style="114" width="8.57"/>
    <col collapsed="false" customWidth="true" hidden="false" outlineLevel="0" max="3" min="3" style="114" width="7.86"/>
    <col collapsed="false" customWidth="true" hidden="false" outlineLevel="0" max="4" min="4" style="339" width="36"/>
    <col collapsed="false" customWidth="true" hidden="false" outlineLevel="0" max="7" min="5" style="339" width="8.71"/>
    <col collapsed="false" customWidth="true" hidden="false" outlineLevel="0" max="8" min="8" style="340" width="11.14"/>
    <col collapsed="false" customWidth="true" hidden="false" outlineLevel="0" max="9" min="9" style="339" width="36.15"/>
    <col collapsed="false" customWidth="true" hidden="false" outlineLevel="0" max="12" min="10" style="339" width="8.71"/>
    <col collapsed="false" customWidth="true" hidden="false" outlineLevel="0" max="13" min="13" style="340" width="8.71"/>
    <col collapsed="false" customWidth="true" hidden="false" outlineLevel="0" max="14" min="14" style="341" width="9.14"/>
    <col collapsed="false" customWidth="true" hidden="false" outlineLevel="0" max="15" min="15" style="341" width="9.29"/>
    <col collapsed="false" customWidth="true" hidden="false" outlineLevel="0" max="16" min="16" style="114" width="15.15"/>
    <col collapsed="false" customWidth="false" hidden="false" outlineLevel="0" max="1024" min="17" style="114" width="11.57"/>
  </cols>
  <sheetData>
    <row r="3" customFormat="false" ht="15" hidden="false" customHeight="false" outlineLevel="0" collapsed="false">
      <c r="B3" s="114" t="s">
        <v>615</v>
      </c>
    </row>
    <row r="5" s="342" customFormat="true" ht="13.9" hidden="false" customHeight="true" outlineLevel="0" collapsed="false">
      <c r="B5" s="343" t="s">
        <v>616</v>
      </c>
      <c r="C5" s="343"/>
      <c r="D5" s="344" t="s">
        <v>617</v>
      </c>
      <c r="E5" s="344"/>
      <c r="F5" s="344"/>
      <c r="G5" s="344"/>
      <c r="H5" s="344"/>
      <c r="I5" s="344" t="s">
        <v>618</v>
      </c>
      <c r="J5" s="344"/>
      <c r="K5" s="344"/>
      <c r="L5" s="344"/>
      <c r="M5" s="344"/>
      <c r="N5" s="344" t="s">
        <v>619</v>
      </c>
      <c r="O5" s="344"/>
      <c r="P5" s="344"/>
    </row>
    <row r="6" s="342" customFormat="true" ht="45" hidden="false" customHeight="false" outlineLevel="0" collapsed="false">
      <c r="B6" s="342" t="s">
        <v>620</v>
      </c>
      <c r="C6" s="342" t="s">
        <v>621</v>
      </c>
      <c r="D6" s="345" t="s">
        <v>622</v>
      </c>
      <c r="E6" s="346" t="s">
        <v>623</v>
      </c>
      <c r="F6" s="347" t="s">
        <v>624</v>
      </c>
      <c r="G6" s="347" t="s">
        <v>625</v>
      </c>
      <c r="H6" s="346" t="s">
        <v>626</v>
      </c>
      <c r="I6" s="345" t="s">
        <v>627</v>
      </c>
      <c r="J6" s="346" t="s">
        <v>628</v>
      </c>
      <c r="K6" s="347" t="s">
        <v>629</v>
      </c>
      <c r="L6" s="347" t="s">
        <v>630</v>
      </c>
      <c r="M6" s="346" t="s">
        <v>626</v>
      </c>
      <c r="N6" s="348" t="s">
        <v>631</v>
      </c>
      <c r="O6" s="349" t="s">
        <v>632</v>
      </c>
      <c r="P6" s="348" t="s">
        <v>633</v>
      </c>
    </row>
    <row r="7" s="193" customFormat="true" ht="12.75" hidden="false" customHeight="false" outlineLevel="0" collapsed="false">
      <c r="D7" s="189"/>
      <c r="E7" s="189"/>
      <c r="F7" s="189"/>
      <c r="G7" s="189"/>
      <c r="H7" s="350"/>
      <c r="I7" s="189"/>
      <c r="J7" s="189"/>
      <c r="K7" s="189"/>
      <c r="L7" s="189"/>
      <c r="M7" s="350"/>
      <c r="N7" s="351"/>
      <c r="O7" s="351"/>
      <c r="P7" s="352"/>
    </row>
    <row r="8" s="193" customFormat="true" ht="22.35" hidden="false" customHeight="true" outlineLevel="0" collapsed="false">
      <c r="B8" s="193" t="s">
        <v>58</v>
      </c>
      <c r="C8" s="193" t="s">
        <v>113</v>
      </c>
      <c r="D8" s="189" t="str">
        <f aca="false">VLOOKUP(B8,matriz_codigo_prezos,2,FALSE())</f>
        <v>Límites de Atterberg. Límite líquido e limite plástico UNE 103103, 103104  ou equivalente</v>
      </c>
      <c r="E8" s="350" t="n">
        <f aca="false">VLOOKUP($B8,matriz_codigo_prezos,3,FALSE())</f>
        <v>63</v>
      </c>
      <c r="F8" s="350" t="n">
        <f aca="false">VLOOKUP($B8,matriz_codigo_prezos,4,FALSE())</f>
        <v>59</v>
      </c>
      <c r="G8" s="350" t="n">
        <f aca="false">VLOOKUP($B8,matriz_codigo_prezos,5,FALSE())</f>
        <v>56</v>
      </c>
      <c r="H8" s="350" t="n">
        <f aca="false">VLOOKUP($B8,matriz_codigo_prezos,6,FALSE())</f>
        <v>63</v>
      </c>
      <c r="I8" s="189" t="str">
        <f aca="false">VLOOKUP(C8,matriz_codigo_prezos,2,FALSE())</f>
        <v>Límites de Atterberg. Límite líquido e limite plástico UNE 103103, 103104 ou equivalente</v>
      </c>
      <c r="J8" s="350" t="n">
        <f aca="false">VLOOKUP($C8,matriz_codigo_prezos,3,FALSE())</f>
        <v>63</v>
      </c>
      <c r="K8" s="350" t="n">
        <f aca="false">VLOOKUP($C8,matriz_codigo_prezos,4,FALSE())</f>
        <v>59</v>
      </c>
      <c r="L8" s="350" t="n">
        <f aca="false">VLOOKUP($C8,matriz_codigo_prezos,5,FALSE())</f>
        <v>56</v>
      </c>
      <c r="M8" s="350" t="n">
        <f aca="false">VLOOKUP($C8,matriz_codigo_prezos,6,FALSE())</f>
        <v>63</v>
      </c>
      <c r="N8" s="351" t="str">
        <f aca="false">IF(D8=I8,"SI","NO")</f>
        <v>NO</v>
      </c>
      <c r="O8" s="351" t="n">
        <f aca="false">ABS(J8-E8)+ABS(K8-F8)+ABS(L8-G8)+ABS(M8-H8)</f>
        <v>0</v>
      </c>
      <c r="P8" s="352" t="str">
        <f aca="false">IF(O8=0,"SI","NO")</f>
        <v>SI</v>
      </c>
    </row>
    <row r="9" s="193" customFormat="true" ht="51" hidden="false" customHeight="false" outlineLevel="0" collapsed="false">
      <c r="B9" s="193" t="s">
        <v>59</v>
      </c>
      <c r="C9" s="193" t="s">
        <v>114</v>
      </c>
      <c r="D9" s="189" t="str">
        <f aca="false">VLOOKUP(B9,matriz_codigo_prezos,2,FALSE())</f>
        <v>Determinación do contido de materia orgánica oxidable polo método do permanganato potásico UNE EN 103204  ou equivalente</v>
      </c>
      <c r="E9" s="350" t="n">
        <f aca="false">VLOOKUP($B9,matriz_codigo_prezos,3,FALSE())</f>
        <v>35</v>
      </c>
      <c r="F9" s="350" t="n">
        <f aca="false">VLOOKUP($B9,matriz_codigo_prezos,4,FALSE())</f>
        <v>33</v>
      </c>
      <c r="G9" s="350" t="n">
        <f aca="false">VLOOKUP($B9,matriz_codigo_prezos,5,FALSE())</f>
        <v>31</v>
      </c>
      <c r="H9" s="350" t="n">
        <f aca="false">VLOOKUP($B9,matriz_codigo_prezos,6,FALSE())</f>
        <v>35</v>
      </c>
      <c r="I9" s="189" t="str">
        <f aca="false">VLOOKUP(C9,matriz_codigo_prezos,2,FALSE())</f>
        <v>Determinación do contido de materia orgánica oxidable polo método do permanganato potásico UNE EN 103204 ou equivalente</v>
      </c>
      <c r="J9" s="350" t="n">
        <f aca="false">VLOOKUP($C9,matriz_codigo_prezos,3,FALSE())</f>
        <v>35</v>
      </c>
      <c r="K9" s="350" t="n">
        <f aca="false">VLOOKUP($C9,matriz_codigo_prezos,4,FALSE())</f>
        <v>33</v>
      </c>
      <c r="L9" s="350" t="n">
        <f aca="false">VLOOKUP($C9,matriz_codigo_prezos,5,FALSE())</f>
        <v>31</v>
      </c>
      <c r="M9" s="350" t="n">
        <f aca="false">VLOOKUP($C9,matriz_codigo_prezos,6,FALSE())</f>
        <v>35</v>
      </c>
      <c r="N9" s="351" t="str">
        <f aca="false">IF(D9=I9,"SI","NO")</f>
        <v>NO</v>
      </c>
      <c r="O9" s="351" t="n">
        <f aca="false">ABS(J9-E9)+ABS(K9-F9)+ABS(L9-G9)+ABS(M9-H9)</f>
        <v>0</v>
      </c>
      <c r="P9" s="352" t="str">
        <f aca="false">IF(O9=0,"SI","NO")</f>
        <v>SI</v>
      </c>
    </row>
    <row r="10" s="193" customFormat="true" ht="38.25" hidden="false" customHeight="false" outlineLevel="0" collapsed="false">
      <c r="B10" s="193" t="s">
        <v>426</v>
      </c>
      <c r="C10" s="193" t="s">
        <v>115</v>
      </c>
      <c r="D10" s="189" t="str">
        <f aca="false">VLOOKUP(B10,matriz_codigo_prezos,2,FALSE())</f>
        <v>Determinación cuantitativa do contido de sulfatos solubles UNE EN 103201 ou equivalente</v>
      </c>
      <c r="E10" s="350" t="n">
        <f aca="false">VLOOKUP($B10,matriz_codigo_prezos,3,FALSE())</f>
        <v>70</v>
      </c>
      <c r="F10" s="350" t="n">
        <f aca="false">VLOOKUP($B10,matriz_codigo_prezos,4,FALSE())</f>
        <v>66</v>
      </c>
      <c r="G10" s="350" t="n">
        <f aca="false">VLOOKUP($B10,matriz_codigo_prezos,5,FALSE())</f>
        <v>63</v>
      </c>
      <c r="H10" s="350" t="n">
        <f aca="false">VLOOKUP($B10,matriz_codigo_prezos,6,FALSE())</f>
        <v>70</v>
      </c>
      <c r="I10" s="189" t="str">
        <f aca="false">VLOOKUP(C10,matriz_codigo_prezos,2,FALSE())</f>
        <v>Determinación cuantitativa do contido de sulfatos solubles UNE EN 103201 ou equivalente</v>
      </c>
      <c r="J10" s="350" t="n">
        <f aca="false">VLOOKUP($C10,matriz_codigo_prezos,3,FALSE())</f>
        <v>70</v>
      </c>
      <c r="K10" s="350" t="n">
        <f aca="false">VLOOKUP($C10,matriz_codigo_prezos,4,FALSE())</f>
        <v>66</v>
      </c>
      <c r="L10" s="350" t="n">
        <f aca="false">VLOOKUP($C10,matriz_codigo_prezos,5,FALSE())</f>
        <v>63</v>
      </c>
      <c r="M10" s="350" t="n">
        <f aca="false">VLOOKUP($C10,matriz_codigo_prezos,6,FALSE())</f>
        <v>70</v>
      </c>
      <c r="N10" s="351" t="str">
        <f aca="false">IF(D10=I10,"SI","NO")</f>
        <v>SI</v>
      </c>
      <c r="O10" s="351" t="n">
        <f aca="false">ABS(J10-E10)+ABS(K10-F10)+ABS(L10-G10)+ABS(M10-H10)</f>
        <v>0</v>
      </c>
      <c r="P10" s="352" t="str">
        <f aca="false">IF(O10=0,"SI","NO")</f>
        <v>SI</v>
      </c>
    </row>
    <row r="11" s="193" customFormat="true" ht="25.5" hidden="false" customHeight="false" outlineLevel="0" collapsed="false">
      <c r="B11" s="193" t="s">
        <v>61</v>
      </c>
      <c r="C11" s="193" t="s">
        <v>133</v>
      </c>
      <c r="D11" s="189" t="str">
        <f aca="false">VLOOKUP(B11,matriz_codigo_prezos,2,FALSE())</f>
        <v>Ensaio de compactación Proctor Modificado UNE 103501 ou equivalente</v>
      </c>
      <c r="E11" s="350" t="n">
        <f aca="false">VLOOKUP($B11,matriz_codigo_prezos,3,FALSE())</f>
        <v>92</v>
      </c>
      <c r="F11" s="350" t="n">
        <f aca="false">VLOOKUP($B11,matriz_codigo_prezos,4,FALSE())</f>
        <v>87</v>
      </c>
      <c r="G11" s="350" t="n">
        <f aca="false">VLOOKUP($B11,matriz_codigo_prezos,5,FALSE())</f>
        <v>82</v>
      </c>
      <c r="H11" s="350" t="n">
        <f aca="false">VLOOKUP($B11,matriz_codigo_prezos,6,FALSE())</f>
        <v>92</v>
      </c>
      <c r="I11" s="189" t="str">
        <f aca="false">VLOOKUP(C11,matriz_codigo_prezos,2,FALSE())</f>
        <v>Ensaio de compactación Proctor Modificado UNE 103501 ou equivalente</v>
      </c>
      <c r="J11" s="350" t="n">
        <f aca="false">VLOOKUP($C11,matriz_codigo_prezos,3,FALSE())</f>
        <v>92</v>
      </c>
      <c r="K11" s="350" t="n">
        <f aca="false">VLOOKUP($C11,matriz_codigo_prezos,4,FALSE())</f>
        <v>87</v>
      </c>
      <c r="L11" s="350" t="n">
        <f aca="false">VLOOKUP($C11,matriz_codigo_prezos,5,FALSE())</f>
        <v>82</v>
      </c>
      <c r="M11" s="350" t="n">
        <f aca="false">VLOOKUP($C11,matriz_codigo_prezos,6,FALSE())</f>
        <v>92</v>
      </c>
      <c r="N11" s="351" t="str">
        <f aca="false">IF(D11=I11,"SI","NO")</f>
        <v>SI</v>
      </c>
      <c r="O11" s="351" t="n">
        <f aca="false">ABS(J11-E11)+ABS(K11-F11)+ABS(L11-G11)+ABS(M11-H11)</f>
        <v>0</v>
      </c>
      <c r="P11" s="352" t="str">
        <f aca="false">IF(O11=0,"SI","NO")</f>
        <v>SI</v>
      </c>
    </row>
    <row r="12" s="193" customFormat="true" ht="25.5" hidden="false" customHeight="false" outlineLevel="0" collapsed="false">
      <c r="B12" s="193" t="s">
        <v>63</v>
      </c>
      <c r="C12" s="193" t="s">
        <v>122</v>
      </c>
      <c r="D12" s="189" t="str">
        <f aca="false">VLOOKUP(B12,matriz_codigo_prezos,2,FALSE())</f>
        <v>Índice CBR en Laboratorio, sen incluír Proctor UNE 103502 ou equivalente</v>
      </c>
      <c r="E12" s="350" t="n">
        <f aca="false">VLOOKUP($B12,matriz_codigo_prezos,3,FALSE())</f>
        <v>83</v>
      </c>
      <c r="F12" s="350" t="n">
        <f aca="false">VLOOKUP($B12,matriz_codigo_prezos,4,FALSE())</f>
        <v>78</v>
      </c>
      <c r="G12" s="350" t="n">
        <f aca="false">VLOOKUP($B12,matriz_codigo_prezos,5,FALSE())</f>
        <v>74</v>
      </c>
      <c r="H12" s="350" t="n">
        <f aca="false">VLOOKUP($B12,matriz_codigo_prezos,6,FALSE())</f>
        <v>83</v>
      </c>
      <c r="I12" s="189" t="str">
        <f aca="false">VLOOKUP(C12,matriz_codigo_prezos,2,FALSE())</f>
        <v>Índice CBR en Laboratorio, sen incluír Proctor UNE 103502 ou equivalente</v>
      </c>
      <c r="J12" s="350" t="n">
        <f aca="false">VLOOKUP($C12,matriz_codigo_prezos,3,FALSE())</f>
        <v>83</v>
      </c>
      <c r="K12" s="350" t="n">
        <f aca="false">VLOOKUP($C12,matriz_codigo_prezos,4,FALSE())</f>
        <v>78</v>
      </c>
      <c r="L12" s="350" t="n">
        <f aca="false">VLOOKUP($C12,matriz_codigo_prezos,5,FALSE())</f>
        <v>74</v>
      </c>
      <c r="M12" s="350" t="n">
        <f aca="false">VLOOKUP($C12,matriz_codigo_prezos,6,FALSE())</f>
        <v>83</v>
      </c>
      <c r="N12" s="351" t="str">
        <f aca="false">IF(D12=I12,"SI","NO")</f>
        <v>SI</v>
      </c>
      <c r="O12" s="351" t="n">
        <f aca="false">ABS(J12-E12)+ABS(K12-F12)+ABS(L12-G12)+ABS(M12-H12)</f>
        <v>0</v>
      </c>
      <c r="P12" s="352" t="str">
        <f aca="false">IF(O12=0,"SI","NO")</f>
        <v>SI</v>
      </c>
    </row>
    <row r="13" s="193" customFormat="true" ht="38.25" hidden="false" customHeight="false" outlineLevel="0" collapsed="false">
      <c r="B13" s="193" t="s">
        <v>433</v>
      </c>
      <c r="C13" s="193" t="s">
        <v>460</v>
      </c>
      <c r="D13" s="189" t="str">
        <f aca="false">VLOOKUP(B13,matriz_codigo_prezos,2,FALSE())</f>
        <v>Índice CBR en Laboratorio, con compactación Proctor Normal ou Modificado UNE 103502 ou equivalente</v>
      </c>
      <c r="E13" s="350" t="n">
        <f aca="false">VLOOKUP($B13,matriz_codigo_prezos,3,FALSE())</f>
        <v>145</v>
      </c>
      <c r="F13" s="350" t="n">
        <f aca="false">VLOOKUP($B13,matriz_codigo_prezos,4,FALSE())</f>
        <v>137</v>
      </c>
      <c r="G13" s="350" t="n">
        <f aca="false">VLOOKUP($B13,matriz_codigo_prezos,5,FALSE())</f>
        <v>130</v>
      </c>
      <c r="H13" s="350" t="n">
        <f aca="false">VLOOKUP($B13,matriz_codigo_prezos,6,FALSE())</f>
        <v>145</v>
      </c>
      <c r="I13" s="189" t="str">
        <f aca="false">VLOOKUP(C13,matriz_codigo_prezos,2,FALSE())</f>
        <v>Índice CBR en Laboratorio, con compactación Proctor Normal ou Modificado UNE 103502 ou equivalente</v>
      </c>
      <c r="J13" s="350" t="n">
        <f aca="false">VLOOKUP($C13,matriz_codigo_prezos,3,FALSE())</f>
        <v>145</v>
      </c>
      <c r="K13" s="350" t="n">
        <f aca="false">VLOOKUP($C13,matriz_codigo_prezos,4,FALSE())</f>
        <v>137</v>
      </c>
      <c r="L13" s="350" t="n">
        <f aca="false">VLOOKUP($C13,matriz_codigo_prezos,5,FALSE())</f>
        <v>130</v>
      </c>
      <c r="M13" s="350" t="n">
        <f aca="false">VLOOKUP($C13,matriz_codigo_prezos,6,FALSE())</f>
        <v>145</v>
      </c>
      <c r="N13" s="351" t="str">
        <f aca="false">IF(D13=I13,"SI","NO")</f>
        <v>SI</v>
      </c>
      <c r="O13" s="351" t="n">
        <f aca="false">ABS(J13-E13)+ABS(K13-F13)+ABS(L13-G13)+ABS(M13-H13)</f>
        <v>0</v>
      </c>
      <c r="P13" s="352" t="str">
        <f aca="false">IF(O13=0,"SI","NO")</f>
        <v>SI</v>
      </c>
    </row>
    <row r="14" s="193" customFormat="true" ht="25.5" hidden="false" customHeight="false" outlineLevel="0" collapsed="false">
      <c r="B14" s="193" t="s">
        <v>64</v>
      </c>
      <c r="C14" s="193" t="s">
        <v>116</v>
      </c>
      <c r="D14" s="189" t="str">
        <f aca="false">VLOOKUP(B14,matriz_codigo_prezos,2,FALSE())</f>
        <v>Ensaio de hinchamento libre no edómetro UNE 103601 ou equivalente</v>
      </c>
      <c r="E14" s="350" t="n">
        <f aca="false">VLOOKUP($B14,matriz_codigo_prezos,3,FALSE())</f>
        <v>83</v>
      </c>
      <c r="F14" s="350" t="n">
        <f aca="false">VLOOKUP($B14,matriz_codigo_prezos,4,FALSE())</f>
        <v>78</v>
      </c>
      <c r="G14" s="350" t="n">
        <f aca="false">VLOOKUP($B14,matriz_codigo_prezos,5,FALSE())</f>
        <v>74</v>
      </c>
      <c r="H14" s="350" t="n">
        <f aca="false">VLOOKUP($B14,matriz_codigo_prezos,6,FALSE())</f>
        <v>83</v>
      </c>
      <c r="I14" s="189" t="str">
        <f aca="false">VLOOKUP(C14,matriz_codigo_prezos,2,FALSE())</f>
        <v>Ensaio de hinchamento libre no edómetro UNE 103601 ou equivalente</v>
      </c>
      <c r="J14" s="350" t="n">
        <f aca="false">VLOOKUP($C14,matriz_codigo_prezos,3,FALSE())</f>
        <v>83</v>
      </c>
      <c r="K14" s="350" t="n">
        <f aca="false">VLOOKUP($C14,matriz_codigo_prezos,4,FALSE())</f>
        <v>78</v>
      </c>
      <c r="L14" s="350" t="n">
        <f aca="false">VLOOKUP($C14,matriz_codigo_prezos,5,FALSE())</f>
        <v>74</v>
      </c>
      <c r="M14" s="350" t="n">
        <f aca="false">VLOOKUP($C14,matriz_codigo_prezos,6,FALSE())</f>
        <v>83</v>
      </c>
      <c r="N14" s="351" t="str">
        <f aca="false">IF(D14=I14,"SI","NO")</f>
        <v>SI</v>
      </c>
      <c r="O14" s="351" t="n">
        <f aca="false">ABS(J14-E14)+ABS(K14-F14)+ABS(L14-G14)+ABS(M14-H14)</f>
        <v>0</v>
      </c>
      <c r="P14" s="352" t="str">
        <f aca="false">IF(O14=0,"SI","NO")</f>
        <v>SI</v>
      </c>
    </row>
    <row r="15" s="193" customFormat="true" ht="25.5" hidden="false" customHeight="false" outlineLevel="0" collapsed="false">
      <c r="B15" s="193" t="s">
        <v>65</v>
      </c>
      <c r="C15" s="193" t="s">
        <v>117</v>
      </c>
      <c r="D15" s="189" t="str">
        <f aca="false">VLOOKUP(B15,matriz_codigo_prezos,2,FALSE())</f>
        <v>Ensaio de colapso en solo UNE 103406 ou equivalente</v>
      </c>
      <c r="E15" s="350" t="n">
        <f aca="false">VLOOKUP($B15,matriz_codigo_prezos,3,FALSE())</f>
        <v>78</v>
      </c>
      <c r="F15" s="350" t="n">
        <f aca="false">VLOOKUP($B15,matriz_codigo_prezos,4,FALSE())</f>
        <v>74</v>
      </c>
      <c r="G15" s="350" t="n">
        <f aca="false">VLOOKUP($B15,matriz_codigo_prezos,5,FALSE())</f>
        <v>70</v>
      </c>
      <c r="H15" s="350" t="n">
        <f aca="false">VLOOKUP($B15,matriz_codigo_prezos,6,FALSE())</f>
        <v>78</v>
      </c>
      <c r="I15" s="189" t="str">
        <f aca="false">VLOOKUP(C15,matriz_codigo_prezos,2,FALSE())</f>
        <v>Ensaio de colapso en solo UNE 103406 ou equivalente</v>
      </c>
      <c r="J15" s="350" t="n">
        <f aca="false">VLOOKUP($C15,matriz_codigo_prezos,3,FALSE())</f>
        <v>78</v>
      </c>
      <c r="K15" s="350" t="n">
        <f aca="false">VLOOKUP($C15,matriz_codigo_prezos,4,FALSE())</f>
        <v>74</v>
      </c>
      <c r="L15" s="350" t="n">
        <f aca="false">VLOOKUP($C15,matriz_codigo_prezos,5,FALSE())</f>
        <v>70</v>
      </c>
      <c r="M15" s="350" t="n">
        <f aca="false">VLOOKUP($C15,matriz_codigo_prezos,6,FALSE())</f>
        <v>78</v>
      </c>
      <c r="N15" s="351" t="str">
        <f aca="false">IF(D15=I15,"SI","NO")</f>
        <v>SI</v>
      </c>
      <c r="O15" s="351" t="n">
        <f aca="false">ABS(J15-E15)+ABS(K15-F15)+ABS(L15-G15)+ABS(M15-H15)</f>
        <v>0</v>
      </c>
      <c r="P15" s="352" t="str">
        <f aca="false">IF(O15=0,"SI","NO")</f>
        <v>SI</v>
      </c>
    </row>
    <row r="16" s="193" customFormat="true" ht="25.5" hidden="false" customHeight="false" outlineLevel="0" collapsed="false">
      <c r="B16" s="193" t="s">
        <v>97</v>
      </c>
      <c r="C16" s="193" t="s">
        <v>152</v>
      </c>
      <c r="D16" s="189" t="str">
        <f aca="false">VLOOKUP(B16,matriz_codigo_prezos,2,FALSE())</f>
        <v>Resistencia á fragmentación Ensaio "Os Ánxeles" UNE EN 1097-2  ou equivalente</v>
      </c>
      <c r="E16" s="350" t="n">
        <f aca="false">VLOOKUP($B16,matriz_codigo_prezos,3,FALSE())</f>
        <v>104</v>
      </c>
      <c r="F16" s="350" t="n">
        <f aca="false">VLOOKUP($B16,matriz_codigo_prezos,4,FALSE())</f>
        <v>98</v>
      </c>
      <c r="G16" s="350" t="n">
        <f aca="false">VLOOKUP($B16,matriz_codigo_prezos,5,FALSE())</f>
        <v>93</v>
      </c>
      <c r="H16" s="350" t="n">
        <f aca="false">VLOOKUP($B16,matriz_codigo_prezos,6,FALSE())</f>
        <v>104</v>
      </c>
      <c r="I16" s="189" t="str">
        <f aca="false">VLOOKUP(C16,matriz_codigo_prezos,2,FALSE())</f>
        <v>Resistencia á fragmentación Ensaio "Os Ánxeles" UNE EN 1097-2 ou equivalente</v>
      </c>
      <c r="J16" s="350" t="n">
        <f aca="false">VLOOKUP($C16,matriz_codigo_prezos,3,FALSE())</f>
        <v>104</v>
      </c>
      <c r="K16" s="350" t="n">
        <f aca="false">VLOOKUP($C16,matriz_codigo_prezos,4,FALSE())</f>
        <v>98</v>
      </c>
      <c r="L16" s="350" t="n">
        <f aca="false">VLOOKUP($C16,matriz_codigo_prezos,5,FALSE())</f>
        <v>93</v>
      </c>
      <c r="M16" s="350" t="n">
        <f aca="false">VLOOKUP($C16,matriz_codigo_prezos,6,FALSE())</f>
        <v>104</v>
      </c>
      <c r="N16" s="351" t="str">
        <f aca="false">IF(D16=I16,"SI","NO")</f>
        <v>NO</v>
      </c>
      <c r="O16" s="351" t="n">
        <f aca="false">ABS(J16-E16)+ABS(K16-F16)+ABS(L16-G16)+ABS(M16-H16)</f>
        <v>0</v>
      </c>
      <c r="P16" s="352" t="str">
        <f aca="false">IF(O16=0,"SI","NO")</f>
        <v>SI</v>
      </c>
    </row>
    <row r="17" s="193" customFormat="true" ht="38.25" hidden="false" customHeight="false" outlineLevel="0" collapsed="false">
      <c r="B17" s="193" t="s">
        <v>72</v>
      </c>
      <c r="C17" s="193" t="s">
        <v>474</v>
      </c>
      <c r="D17" s="189" t="str">
        <f aca="false">VLOOKUP(B17,matriz_codigo_prezos,2,FALSE())</f>
        <v>Ensaio de Carga con Placa de 30cm UNE 103808 ou equivalente. Non inclúe preparación do dispositivo a reacción</v>
      </c>
      <c r="E17" s="350" t="n">
        <f aca="false">VLOOKUP($B17,matriz_codigo_prezos,3,FALSE())</f>
        <v>181</v>
      </c>
      <c r="F17" s="350" t="n">
        <f aca="false">VLOOKUP($B17,matriz_codigo_prezos,4,FALSE())</f>
        <v>171</v>
      </c>
      <c r="G17" s="350" t="n">
        <f aca="false">VLOOKUP($B17,matriz_codigo_prezos,5,FALSE())</f>
        <v>162</v>
      </c>
      <c r="H17" s="350" t="n">
        <f aca="false">VLOOKUP($B17,matriz_codigo_prezos,6,FALSE())</f>
        <v>181</v>
      </c>
      <c r="I17" s="189" t="str">
        <f aca="false">VLOOKUP(C17,matriz_codigo_prezos,2,FALSE())</f>
        <v>Ensaio de Carga con Placa de 30cm UNE 103808 ou equivalente. Non inclúe preparación do dispositivo a reacción</v>
      </c>
      <c r="J17" s="350" t="n">
        <f aca="false">VLOOKUP($C17,matriz_codigo_prezos,3,FALSE())</f>
        <v>181</v>
      </c>
      <c r="K17" s="350" t="n">
        <f aca="false">VLOOKUP($C17,matriz_codigo_prezos,4,FALSE())</f>
        <v>171</v>
      </c>
      <c r="L17" s="350" t="n">
        <f aca="false">VLOOKUP($C17,matriz_codigo_prezos,5,FALSE())</f>
        <v>162</v>
      </c>
      <c r="M17" s="350" t="n">
        <f aca="false">VLOOKUP($C17,matriz_codigo_prezos,6,FALSE())</f>
        <v>181</v>
      </c>
      <c r="N17" s="351" t="str">
        <f aca="false">IF(D17=I17,"SI","NO")</f>
        <v>SI</v>
      </c>
      <c r="O17" s="351" t="n">
        <f aca="false">ABS(J17-E17)+ABS(K17-F17)+ABS(L17-G17)+ABS(M17-H17)</f>
        <v>0</v>
      </c>
      <c r="P17" s="352" t="str">
        <f aca="false">IF(O17=0,"SI","NO")</f>
        <v>SI</v>
      </c>
    </row>
    <row r="18" s="193" customFormat="true" ht="12.75" hidden="false" customHeight="false" outlineLevel="0" collapsed="false">
      <c r="D18" s="189"/>
      <c r="E18" s="350"/>
      <c r="F18" s="350"/>
      <c r="G18" s="350"/>
      <c r="H18" s="350"/>
      <c r="I18" s="189"/>
      <c r="J18" s="350"/>
      <c r="K18" s="350"/>
      <c r="L18" s="350"/>
      <c r="M18" s="350"/>
      <c r="N18" s="351"/>
      <c r="O18" s="351"/>
      <c r="P18" s="352"/>
    </row>
    <row r="19" s="193" customFormat="true" ht="12.75" hidden="false" customHeight="false" outlineLevel="0" collapsed="false">
      <c r="D19" s="189"/>
      <c r="E19" s="350"/>
      <c r="F19" s="350"/>
      <c r="G19" s="350"/>
      <c r="H19" s="350"/>
      <c r="I19" s="189"/>
      <c r="J19" s="350"/>
      <c r="K19" s="350"/>
      <c r="L19" s="350"/>
      <c r="M19" s="350"/>
      <c r="N19" s="351"/>
      <c r="O19" s="351"/>
      <c r="P19" s="352"/>
    </row>
    <row r="20" s="193" customFormat="true" ht="12.75" hidden="false" customHeight="false" outlineLevel="0" collapsed="false">
      <c r="D20" s="189"/>
      <c r="E20" s="350"/>
      <c r="F20" s="350"/>
      <c r="G20" s="350"/>
      <c r="H20" s="350"/>
      <c r="I20" s="189"/>
      <c r="J20" s="350"/>
      <c r="K20" s="350"/>
      <c r="L20" s="350"/>
      <c r="M20" s="350"/>
      <c r="N20" s="351"/>
      <c r="O20" s="351"/>
      <c r="P20" s="352"/>
    </row>
    <row r="21" s="193" customFormat="true" ht="12.75" hidden="false" customHeight="false" outlineLevel="0" collapsed="false">
      <c r="D21" s="189"/>
      <c r="E21" s="350"/>
      <c r="F21" s="350"/>
      <c r="G21" s="350"/>
      <c r="H21" s="350"/>
      <c r="I21" s="189"/>
      <c r="J21" s="350"/>
      <c r="K21" s="350"/>
      <c r="L21" s="350"/>
      <c r="M21" s="350"/>
      <c r="N21" s="351"/>
      <c r="O21" s="351"/>
      <c r="P21" s="352"/>
    </row>
    <row r="22" s="193" customFormat="true" ht="12.75" hidden="false" customHeight="false" outlineLevel="0" collapsed="false">
      <c r="D22" s="189"/>
      <c r="E22" s="350"/>
      <c r="F22" s="350"/>
      <c r="G22" s="350"/>
      <c r="H22" s="350"/>
      <c r="I22" s="189"/>
      <c r="J22" s="350"/>
      <c r="K22" s="350"/>
      <c r="L22" s="350"/>
      <c r="M22" s="350"/>
      <c r="N22" s="351"/>
      <c r="O22" s="351"/>
      <c r="P22" s="352"/>
    </row>
    <row r="23" s="193" customFormat="true" ht="12.75" hidden="false" customHeight="false" outlineLevel="0" collapsed="false">
      <c r="D23" s="189"/>
      <c r="E23" s="350"/>
      <c r="F23" s="350"/>
      <c r="G23" s="350"/>
      <c r="H23" s="350"/>
      <c r="I23" s="189"/>
      <c r="J23" s="350"/>
      <c r="K23" s="350"/>
      <c r="L23" s="350"/>
      <c r="M23" s="350"/>
      <c r="N23" s="351"/>
      <c r="O23" s="351"/>
      <c r="P23" s="352"/>
    </row>
    <row r="24" s="193" customFormat="true" ht="12.75" hidden="false" customHeight="false" outlineLevel="0" collapsed="false">
      <c r="D24" s="189"/>
      <c r="E24" s="350"/>
      <c r="F24" s="350"/>
      <c r="G24" s="350"/>
      <c r="H24" s="350"/>
      <c r="I24" s="189"/>
      <c r="J24" s="350"/>
      <c r="K24" s="350"/>
      <c r="L24" s="350"/>
      <c r="M24" s="350"/>
      <c r="N24" s="351"/>
      <c r="O24" s="351"/>
      <c r="P24" s="352"/>
    </row>
    <row r="25" s="193" customFormat="true" ht="12.75" hidden="false" customHeight="false" outlineLevel="0" collapsed="false">
      <c r="D25" s="189"/>
      <c r="E25" s="350"/>
      <c r="F25" s="350"/>
      <c r="G25" s="350"/>
      <c r="H25" s="350"/>
      <c r="I25" s="189"/>
      <c r="J25" s="350"/>
      <c r="K25" s="350"/>
      <c r="L25" s="350"/>
      <c r="M25" s="350"/>
      <c r="N25" s="351"/>
      <c r="O25" s="351"/>
      <c r="P25" s="352"/>
    </row>
    <row r="26" s="193" customFormat="true" ht="12.75" hidden="false" customHeight="false" outlineLevel="0" collapsed="false">
      <c r="D26" s="189"/>
      <c r="E26" s="350"/>
      <c r="F26" s="350"/>
      <c r="G26" s="350"/>
      <c r="H26" s="350"/>
      <c r="I26" s="189"/>
      <c r="J26" s="350"/>
      <c r="K26" s="350"/>
      <c r="L26" s="350"/>
      <c r="M26" s="350"/>
      <c r="N26" s="351"/>
      <c r="O26" s="351"/>
      <c r="P26" s="352"/>
    </row>
    <row r="27" s="193" customFormat="true" ht="12.75" hidden="false" customHeight="false" outlineLevel="0" collapsed="false">
      <c r="D27" s="189"/>
      <c r="E27" s="189"/>
      <c r="F27" s="189"/>
      <c r="G27" s="189"/>
      <c r="H27" s="350"/>
      <c r="I27" s="189"/>
      <c r="J27" s="189"/>
      <c r="K27" s="189"/>
      <c r="L27" s="189"/>
      <c r="M27" s="350"/>
      <c r="N27" s="351"/>
      <c r="O27" s="351"/>
    </row>
    <row r="28" s="193" customFormat="true" ht="12.75" hidden="false" customHeight="false" outlineLevel="0" collapsed="false">
      <c r="D28" s="189"/>
      <c r="E28" s="189"/>
      <c r="F28" s="189"/>
      <c r="G28" s="189"/>
      <c r="H28" s="350"/>
      <c r="I28" s="189"/>
      <c r="J28" s="189"/>
      <c r="K28" s="189"/>
      <c r="L28" s="189"/>
      <c r="M28" s="350"/>
      <c r="N28" s="351"/>
      <c r="O28" s="351"/>
    </row>
    <row r="29" s="193" customFormat="true" ht="12.75" hidden="false" customHeight="false" outlineLevel="0" collapsed="false">
      <c r="D29" s="189"/>
      <c r="E29" s="189"/>
      <c r="F29" s="189"/>
      <c r="G29" s="189"/>
      <c r="H29" s="350"/>
      <c r="I29" s="189"/>
      <c r="J29" s="189"/>
      <c r="K29" s="189"/>
      <c r="L29" s="189"/>
      <c r="M29" s="350"/>
      <c r="N29" s="351"/>
      <c r="O29" s="351"/>
    </row>
    <row r="30" s="193" customFormat="true" ht="12.75" hidden="false" customHeight="false" outlineLevel="0" collapsed="false">
      <c r="D30" s="189"/>
      <c r="E30" s="189"/>
      <c r="F30" s="189"/>
      <c r="G30" s="189"/>
      <c r="H30" s="350"/>
      <c r="I30" s="189"/>
      <c r="J30" s="189"/>
      <c r="K30" s="189"/>
      <c r="L30" s="189"/>
      <c r="M30" s="350"/>
      <c r="N30" s="351"/>
      <c r="O30" s="351"/>
    </row>
  </sheetData>
  <mergeCells count="4">
    <mergeCell ref="B5:C5"/>
    <mergeCell ref="D5:H5"/>
    <mergeCell ref="I5:M5"/>
    <mergeCell ref="N5:P5"/>
  </mergeCells>
  <conditionalFormatting sqref="A1:AMJ30 D31:L116 N31:AMJ116 A31:H129 M31:M129 V117:AMJ129 A132:AMJ1048576">
    <cfRule type="cellIs" priority="2" operator="equal" aboveAverage="0" equalAverage="0" bottom="0" percent="0" rank="0" text="" dxfId="6">
      <formula>"ERROR"</formula>
    </cfRule>
  </conditionalFormatting>
  <conditionalFormatting sqref="N1:P5 N6 P6 N7:P1048576">
    <cfRule type="cellIs" priority="3" operator="equal" aboveAverage="0" equalAverage="0" bottom="0" percent="0" rank="0" text="" dxfId="7">
      <formula>"NO"</formula>
    </cfRule>
  </conditionalFormatting>
  <conditionalFormatting sqref="O1:O5 O7:O1048576">
    <cfRule type="cellIs" priority="4" operator="notEqual" aboveAverage="0" equalAverage="0" bottom="0" percent="0" rank="0" text="" dxfId="8">
      <formula>0</formula>
    </cfRule>
  </conditionalFormatting>
  <printOptions headings="false" gridLines="false" gridLinesSet="true" horizontalCentered="false" verticalCentered="false"/>
  <pageMargins left="0.7875" right="0.7875" top="1.025" bottom="1.025" header="0.7875" footer="0.7875"/>
  <pageSetup paperSize="9" scale="100" fitToWidth="1" fitToHeight="0" pageOrder="downThenOver" orientation="landscape" blackAndWhite="false" draft="false" cellComments="none" horizontalDpi="300" verticalDpi="300" copies="1"/>
  <headerFooter differentFirst="false" differentOddEven="false">
    <oddHeader>&amp;C&amp;"Arial,Normal"&amp;10&amp;A</oddHeader>
    <oddFooter>&amp;C&amp;"Arial,Normal"&amp;10Página &amp;P</oddFooter>
  </headerFooter>
</worksheet>
</file>

<file path=docProps/app.xml><?xml version="1.0" encoding="utf-8"?>
<Properties xmlns="http://schemas.openxmlformats.org/officeDocument/2006/extended-properties" xmlns:vt="http://schemas.openxmlformats.org/officeDocument/2006/docPropsVTypes">
  <Template/>
  <Manager>ALAGAL</Manager>
  <TotalTime>6032</TotalTime>
  <Application>LibreOffice/7.5.6.2$Windows_X86_64 LibreOffice_project/f654817fb68d6d4600d7d2f6b647e47729f55f15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2019-04-02T18:24:47Z</dcterms:created>
  <dc:creator>ALAGAL</dc:creator>
  <dc:description/>
  <dc:language>gl-ES</dc:language>
  <cp:lastModifiedBy/>
  <cp:lastPrinted>2025-05-28T09:28:41Z</cp:lastPrinted>
  <dcterms:modified xsi:type="dcterms:W3CDTF">2025-06-25T12:06:38Z</dcterms:modified>
  <cp:revision>783</cp:revision>
  <dc:subject/>
  <dc:title/>
</cp:coreProperties>
</file>

<file path=docProps/custom.xml><?xml version="1.0" encoding="utf-8"?>
<Properties xmlns="http://schemas.openxmlformats.org/officeDocument/2006/custom-properties" xmlns:vt="http://schemas.openxmlformats.org/officeDocument/2006/docPropsVTypes"/>
</file>